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2. 28 ธ.ค. 66\"/>
    </mc:Choice>
  </mc:AlternateContent>
  <xr:revisionPtr revIDLastSave="0" documentId="13_ncr:1_{6E93DAF7-847A-4C3D-B3B8-1247F6A50AB9}" xr6:coauthVersionLast="37" xr6:coauthVersionMax="37" xr10:uidLastSave="{00000000-0000-0000-0000-000000000000}"/>
  <bookViews>
    <workbookView xWindow="0" yWindow="0" windowWidth="24000" windowHeight="9525" firstSheet="7" activeTab="15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Titles" localSheetId="1">กำแพงเพชร!$1:$6</definedName>
    <definedName name="_xlnm.Print_Titles" localSheetId="2">เชียงราย!$1:$6</definedName>
    <definedName name="_xlnm.Print_Titles" localSheetId="3">เชียงใหม่!$1:$6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79021"/>
</workbook>
</file>

<file path=xl/calcChain.xml><?xml version="1.0" encoding="utf-8"?>
<calcChain xmlns="http://schemas.openxmlformats.org/spreadsheetml/2006/main">
  <c r="A3" i="18" l="1"/>
  <c r="L22" i="18"/>
  <c r="M22" i="18"/>
  <c r="N22" i="18"/>
  <c r="P22" i="18"/>
  <c r="L25" i="18"/>
  <c r="O25" i="18" s="1"/>
  <c r="M25" i="18"/>
  <c r="N25" i="18"/>
  <c r="L45" i="18"/>
  <c r="M45" i="18"/>
  <c r="N45" i="18"/>
  <c r="O45" i="18"/>
  <c r="O48" i="18"/>
  <c r="P48" i="18"/>
  <c r="L49" i="18"/>
  <c r="M49" i="18"/>
  <c r="M47" i="18" s="1"/>
  <c r="N49" i="18"/>
  <c r="O51" i="18"/>
  <c r="P51" i="18"/>
  <c r="L52" i="18"/>
  <c r="M52" i="18"/>
  <c r="P52" i="18" s="1"/>
  <c r="N52" i="18"/>
  <c r="N50" i="18" s="1"/>
  <c r="L60" i="18"/>
  <c r="M60" i="18"/>
  <c r="N60" i="18"/>
  <c r="P60" i="18"/>
  <c r="O63" i="18"/>
  <c r="P63" i="18"/>
  <c r="L64" i="18"/>
  <c r="L62" i="18" s="1"/>
  <c r="M64" i="18"/>
  <c r="M62" i="18" s="1"/>
  <c r="N64" i="18"/>
  <c r="O66" i="18"/>
  <c r="P66" i="18"/>
  <c r="L67" i="18"/>
  <c r="O67" i="18" s="1"/>
  <c r="M67" i="18"/>
  <c r="M65" i="18" s="1"/>
  <c r="P65" i="18" s="1"/>
  <c r="N67" i="18"/>
  <c r="N65" i="18" s="1"/>
  <c r="J71" i="18"/>
  <c r="L73" i="18"/>
  <c r="O73" i="18" s="1"/>
  <c r="M73" i="18"/>
  <c r="N73" i="18"/>
  <c r="O76" i="18"/>
  <c r="P76" i="18"/>
  <c r="L77" i="18"/>
  <c r="M77" i="18"/>
  <c r="N77" i="18"/>
  <c r="N75" i="18" s="1"/>
  <c r="O79" i="18"/>
  <c r="P79" i="18"/>
  <c r="L80" i="18"/>
  <c r="O80" i="18" s="1"/>
  <c r="M80" i="18"/>
  <c r="N80" i="18"/>
  <c r="N78" i="18" s="1"/>
  <c r="J82" i="18"/>
  <c r="J70" i="18" s="1"/>
  <c r="J83" i="18"/>
  <c r="I84" i="18"/>
  <c r="K84" i="18" s="1"/>
  <c r="I85" i="18"/>
  <c r="K85" i="18" s="1"/>
  <c r="I86" i="18"/>
  <c r="K86" i="18" s="1"/>
  <c r="I87" i="18"/>
  <c r="K87" i="18" s="1"/>
  <c r="I88" i="18"/>
  <c r="K88" i="18" s="1"/>
  <c r="I89" i="18"/>
  <c r="K89" i="18" s="1"/>
  <c r="I90" i="18"/>
  <c r="K90" i="18" s="1"/>
  <c r="J92" i="18"/>
  <c r="J93" i="18"/>
  <c r="L95" i="18"/>
  <c r="O95" i="18" s="1"/>
  <c r="M95" i="18"/>
  <c r="N95" i="18"/>
  <c r="O98" i="18"/>
  <c r="P98" i="18"/>
  <c r="L99" i="18"/>
  <c r="L97" i="18" s="1"/>
  <c r="O97" i="18" s="1"/>
  <c r="M99" i="18"/>
  <c r="P99" i="18" s="1"/>
  <c r="N99" i="18"/>
  <c r="N97" i="18" s="1"/>
  <c r="O101" i="18"/>
  <c r="P101" i="18"/>
  <c r="L102" i="18"/>
  <c r="L100" i="18" s="1"/>
  <c r="O100" i="18" s="1"/>
  <c r="M102" i="18"/>
  <c r="P102" i="18" s="1"/>
  <c r="N102" i="18"/>
  <c r="I108" i="18"/>
  <c r="I92" i="18" s="1"/>
  <c r="K92" i="18" s="1"/>
  <c r="I109" i="18"/>
  <c r="K109" i="18" s="1"/>
  <c r="I117" i="18"/>
  <c r="K117" i="18" s="1"/>
  <c r="L126" i="18"/>
  <c r="M126" i="18"/>
  <c r="P126" i="18" s="1"/>
  <c r="N126" i="18"/>
  <c r="O126" i="18"/>
  <c r="O129" i="18"/>
  <c r="P129" i="18"/>
  <c r="L130" i="18"/>
  <c r="M130" i="18"/>
  <c r="P130" i="18" s="1"/>
  <c r="N130" i="18"/>
  <c r="N128" i="18" s="1"/>
  <c r="O132" i="18"/>
  <c r="P132" i="18"/>
  <c r="L133" i="18"/>
  <c r="L131" i="18" s="1"/>
  <c r="O131" i="18" s="1"/>
  <c r="M133" i="18"/>
  <c r="P133" i="18" s="1"/>
  <c r="N133" i="18"/>
  <c r="N131" i="18" s="1"/>
  <c r="J136" i="18"/>
  <c r="J137" i="18"/>
  <c r="J138" i="18"/>
  <c r="L140" i="18"/>
  <c r="M140" i="18"/>
  <c r="N140" i="18"/>
  <c r="O140" i="18"/>
  <c r="P140" i="18"/>
  <c r="O143" i="18"/>
  <c r="P143" i="18"/>
  <c r="L144" i="18"/>
  <c r="L142" i="18" s="1"/>
  <c r="M144" i="18"/>
  <c r="N144" i="18"/>
  <c r="N142" i="18" s="1"/>
  <c r="O146" i="18"/>
  <c r="P146" i="18"/>
  <c r="L147" i="18"/>
  <c r="M147" i="18"/>
  <c r="P147" i="18" s="1"/>
  <c r="N147" i="18"/>
  <c r="N145" i="18" s="1"/>
  <c r="I150" i="18"/>
  <c r="K150" i="18" s="1"/>
  <c r="I151" i="18"/>
  <c r="K151" i="18" s="1"/>
  <c r="I152" i="18"/>
  <c r="K152" i="18" s="1"/>
  <c r="I153" i="18"/>
  <c r="I138" i="18" s="1"/>
  <c r="K138" i="18" s="1"/>
  <c r="I154" i="18"/>
  <c r="I136" i="18" s="1"/>
  <c r="J156" i="18"/>
  <c r="L158" i="18"/>
  <c r="O158" i="18" s="1"/>
  <c r="M158" i="18"/>
  <c r="N158" i="18"/>
  <c r="P158" i="18"/>
  <c r="O161" i="18"/>
  <c r="P161" i="18"/>
  <c r="L162" i="18"/>
  <c r="M162" i="18"/>
  <c r="M160" i="18" s="1"/>
  <c r="P160" i="18" s="1"/>
  <c r="N162" i="18"/>
  <c r="N160" i="18" s="1"/>
  <c r="O164" i="18"/>
  <c r="P164" i="18"/>
  <c r="L165" i="18"/>
  <c r="O165" i="18" s="1"/>
  <c r="M165" i="18"/>
  <c r="P165" i="18" s="1"/>
  <c r="N165" i="18"/>
  <c r="N163" i="18" s="1"/>
  <c r="I167" i="18"/>
  <c r="I169" i="18" s="1"/>
  <c r="K169" i="18" s="1"/>
  <c r="J172" i="18"/>
  <c r="L174" i="18"/>
  <c r="M174" i="18"/>
  <c r="N174" i="18"/>
  <c r="O174" i="18"/>
  <c r="O177" i="18"/>
  <c r="P177" i="18"/>
  <c r="L178" i="18"/>
  <c r="M178" i="18"/>
  <c r="M176" i="18" s="1"/>
  <c r="N178" i="18"/>
  <c r="N176" i="18" s="1"/>
  <c r="O180" i="18"/>
  <c r="P180" i="18"/>
  <c r="L181" i="18"/>
  <c r="O181" i="18" s="1"/>
  <c r="M181" i="18"/>
  <c r="P181" i="18" s="1"/>
  <c r="N181" i="18"/>
  <c r="N179" i="18" s="1"/>
  <c r="I183" i="18"/>
  <c r="I172" i="18" s="1"/>
  <c r="K172" i="18" s="1"/>
  <c r="K184" i="18"/>
  <c r="L187" i="18"/>
  <c r="M187" i="18"/>
  <c r="N187" i="18"/>
  <c r="O187" i="18"/>
  <c r="O190" i="18"/>
  <c r="P190" i="18"/>
  <c r="L191" i="18"/>
  <c r="M191" i="18"/>
  <c r="M189" i="18" s="1"/>
  <c r="N191" i="18"/>
  <c r="N189" i="18" s="1"/>
  <c r="O193" i="18"/>
  <c r="P193" i="18"/>
  <c r="L194" i="18"/>
  <c r="L192" i="18" s="1"/>
  <c r="O192" i="18" s="1"/>
  <c r="M194" i="18"/>
  <c r="M192" i="18" s="1"/>
  <c r="P192" i="18" s="1"/>
  <c r="N194" i="18"/>
  <c r="N192" i="18" s="1"/>
  <c r="J195" i="18"/>
  <c r="L196" i="18"/>
  <c r="O196" i="18" s="1"/>
  <c r="P196" i="18"/>
  <c r="I198" i="18"/>
  <c r="K198" i="18" s="1"/>
  <c r="J199" i="18"/>
  <c r="J202" i="18"/>
  <c r="N203" i="18"/>
  <c r="P203" i="18"/>
  <c r="L204" i="18"/>
  <c r="L205" i="18"/>
  <c r="L206" i="18"/>
  <c r="L207" i="18"/>
  <c r="I209" i="18"/>
  <c r="I202" i="18" s="1"/>
  <c r="I211" i="18"/>
  <c r="K211" i="18" s="1"/>
  <c r="I212" i="18"/>
  <c r="K212" i="18" s="1"/>
  <c r="J213" i="18"/>
  <c r="N214" i="18"/>
  <c r="P214" i="18"/>
  <c r="L215" i="18"/>
  <c r="L216" i="18"/>
  <c r="L217" i="18"/>
  <c r="I219" i="18"/>
  <c r="K219" i="18" s="1"/>
  <c r="I220" i="18"/>
  <c r="I213" i="18" s="1"/>
  <c r="K213" i="18" s="1"/>
  <c r="J221" i="18"/>
  <c r="N222" i="18"/>
  <c r="P222" i="18"/>
  <c r="L223" i="18"/>
  <c r="L224" i="18"/>
  <c r="L225" i="18"/>
  <c r="I228" i="18"/>
  <c r="K228" i="18" s="1"/>
  <c r="I229" i="18"/>
  <c r="I221" i="18" s="1"/>
  <c r="K221" i="18" s="1"/>
  <c r="I230" i="18"/>
  <c r="K230" i="18" s="1"/>
  <c r="J231" i="18"/>
  <c r="J185" i="18" s="1"/>
  <c r="N233" i="18"/>
  <c r="N234" i="18"/>
  <c r="N235" i="18"/>
  <c r="N236" i="18"/>
  <c r="J238" i="18"/>
  <c r="I240" i="18"/>
  <c r="J240" i="18"/>
  <c r="K240" i="18"/>
  <c r="I241" i="18"/>
  <c r="K241" i="18" s="1"/>
  <c r="J241" i="18"/>
  <c r="J242" i="18"/>
  <c r="N243" i="18"/>
  <c r="N232" i="18" s="1"/>
  <c r="P243" i="18"/>
  <c r="L244" i="18"/>
  <c r="L245" i="18"/>
  <c r="L246" i="18"/>
  <c r="L247" i="18"/>
  <c r="I249" i="18"/>
  <c r="K251" i="18"/>
  <c r="K252" i="18"/>
  <c r="J253" i="18"/>
  <c r="N254" i="18"/>
  <c r="P254" i="18"/>
  <c r="L255" i="18"/>
  <c r="L256" i="18"/>
  <c r="L257" i="18"/>
  <c r="L258" i="18"/>
  <c r="I260" i="18"/>
  <c r="I253" i="18" s="1"/>
  <c r="K253" i="18" s="1"/>
  <c r="K262" i="18"/>
  <c r="K263" i="18"/>
  <c r="I265" i="18"/>
  <c r="K265" i="18" s="1"/>
  <c r="J265" i="18"/>
  <c r="L267" i="18"/>
  <c r="M267" i="18"/>
  <c r="N267" i="18"/>
  <c r="O267" i="18"/>
  <c r="O270" i="18"/>
  <c r="P270" i="18"/>
  <c r="L271" i="18"/>
  <c r="M271" i="18"/>
  <c r="M269" i="18" s="1"/>
  <c r="P269" i="18" s="1"/>
  <c r="N271" i="18"/>
  <c r="N269" i="18" s="1"/>
  <c r="O273" i="18"/>
  <c r="P273" i="18"/>
  <c r="L274" i="18"/>
  <c r="L272" i="18" s="1"/>
  <c r="O272" i="18" s="1"/>
  <c r="M274" i="18"/>
  <c r="M272" i="18" s="1"/>
  <c r="P272" i="18" s="1"/>
  <c r="N274" i="18"/>
  <c r="N272" i="18" s="1"/>
  <c r="J281" i="18"/>
  <c r="L283" i="18"/>
  <c r="M283" i="18"/>
  <c r="N283" i="18"/>
  <c r="O283" i="18"/>
  <c r="O286" i="18"/>
  <c r="P286" i="18"/>
  <c r="L287" i="18"/>
  <c r="M287" i="18"/>
  <c r="M285" i="18" s="1"/>
  <c r="N287" i="18"/>
  <c r="N285" i="18" s="1"/>
  <c r="O289" i="18"/>
  <c r="P289" i="18"/>
  <c r="L290" i="18"/>
  <c r="O290" i="18" s="1"/>
  <c r="M290" i="18"/>
  <c r="P290" i="18" s="1"/>
  <c r="N290" i="18"/>
  <c r="N288" i="18" s="1"/>
  <c r="I292" i="18"/>
  <c r="I281" i="18" s="1"/>
  <c r="K281" i="18" s="1"/>
  <c r="I293" i="18"/>
  <c r="I280" i="18" s="1"/>
  <c r="K280" i="18" s="1"/>
  <c r="J293" i="18"/>
  <c r="J280" i="18" s="1"/>
  <c r="I295" i="18"/>
  <c r="K295" i="18" s="1"/>
  <c r="I296" i="18"/>
  <c r="K296" i="18" s="1"/>
  <c r="J302" i="18"/>
  <c r="L304" i="18"/>
  <c r="M304" i="18"/>
  <c r="N304" i="18"/>
  <c r="O304" i="18"/>
  <c r="O307" i="18"/>
  <c r="P307" i="18"/>
  <c r="L308" i="18"/>
  <c r="L306" i="18" s="1"/>
  <c r="M308" i="18"/>
  <c r="M306" i="18" s="1"/>
  <c r="N308" i="18"/>
  <c r="N306" i="18" s="1"/>
  <c r="O310" i="18"/>
  <c r="P310" i="18"/>
  <c r="L311" i="18"/>
  <c r="L309" i="18" s="1"/>
  <c r="O309" i="18" s="1"/>
  <c r="M311" i="18"/>
  <c r="M309" i="18" s="1"/>
  <c r="P309" i="18" s="1"/>
  <c r="N311" i="18"/>
  <c r="N309" i="18" s="1"/>
  <c r="I314" i="18"/>
  <c r="K314" i="18" s="1"/>
  <c r="I315" i="18"/>
  <c r="K315" i="18" s="1"/>
  <c r="I316" i="18"/>
  <c r="K316" i="18" s="1"/>
  <c r="I317" i="18"/>
  <c r="K317" i="18" s="1"/>
  <c r="J319" i="18"/>
  <c r="L321" i="18"/>
  <c r="O321" i="18" s="1"/>
  <c r="M321" i="18"/>
  <c r="N321" i="18"/>
  <c r="O324" i="18"/>
  <c r="P324" i="18"/>
  <c r="L325" i="18"/>
  <c r="L323" i="18" s="1"/>
  <c r="M325" i="18"/>
  <c r="N325" i="18"/>
  <c r="O327" i="18"/>
  <c r="P327" i="18"/>
  <c r="L328" i="18"/>
  <c r="L326" i="18" s="1"/>
  <c r="O326" i="18" s="1"/>
  <c r="M328" i="18"/>
  <c r="P328" i="18" s="1"/>
  <c r="N328" i="18"/>
  <c r="N326" i="18" s="1"/>
  <c r="I330" i="18"/>
  <c r="I319" i="18" s="1"/>
  <c r="K319" i="18" s="1"/>
  <c r="L334" i="18"/>
  <c r="O334" i="18" s="1"/>
  <c r="M334" i="18"/>
  <c r="N334" i="18"/>
  <c r="P334" i="18"/>
  <c r="O337" i="18"/>
  <c r="P337" i="18"/>
  <c r="L338" i="18"/>
  <c r="L336" i="18" s="1"/>
  <c r="M338" i="18"/>
  <c r="M336" i="18" s="1"/>
  <c r="N338" i="18"/>
  <c r="N336" i="18" s="1"/>
  <c r="O340" i="18"/>
  <c r="P340" i="18"/>
  <c r="L341" i="18"/>
  <c r="L339" i="18" s="1"/>
  <c r="O339" i="18" s="1"/>
  <c r="M341" i="18"/>
  <c r="M339" i="18" s="1"/>
  <c r="P339" i="18" s="1"/>
  <c r="N341" i="18"/>
  <c r="N339" i="18" s="1"/>
  <c r="I344" i="18"/>
  <c r="I332" i="18" s="1"/>
  <c r="J344" i="18"/>
  <c r="I346" i="18"/>
  <c r="J346" i="18"/>
  <c r="J347" i="18"/>
  <c r="J348" i="18"/>
  <c r="J349" i="18"/>
  <c r="D350" i="18"/>
  <c r="J352" i="18"/>
  <c r="J353" i="18"/>
  <c r="D354" i="18"/>
  <c r="L357" i="18"/>
  <c r="O357" i="18" s="1"/>
  <c r="M357" i="18"/>
  <c r="N357" i="18"/>
  <c r="P357" i="18"/>
  <c r="O360" i="18"/>
  <c r="P360" i="18"/>
  <c r="L361" i="18"/>
  <c r="L359" i="18" s="1"/>
  <c r="M361" i="18"/>
  <c r="M359" i="18" s="1"/>
  <c r="N361" i="18"/>
  <c r="N359" i="18" s="1"/>
  <c r="O363" i="18"/>
  <c r="P363" i="18"/>
  <c r="L364" i="18"/>
  <c r="L362" i="18" s="1"/>
  <c r="O362" i="18" s="1"/>
  <c r="M364" i="18"/>
  <c r="M362" i="18" s="1"/>
  <c r="P362" i="18" s="1"/>
  <c r="N364" i="18"/>
  <c r="N362" i="18" s="1"/>
  <c r="J367" i="18"/>
  <c r="K367" i="18"/>
  <c r="I368" i="18"/>
  <c r="J368" i="18"/>
  <c r="I369" i="18"/>
  <c r="J369" i="18"/>
  <c r="J370" i="18"/>
  <c r="K370" i="18"/>
  <c r="I371" i="18"/>
  <c r="J371" i="18"/>
  <c r="J365" i="18" s="1"/>
  <c r="J372" i="18"/>
  <c r="K372" i="18"/>
  <c r="D373" i="18"/>
  <c r="I376" i="18"/>
  <c r="K376" i="18" s="1"/>
  <c r="J376" i="18"/>
  <c r="L378" i="18"/>
  <c r="M378" i="18"/>
  <c r="P378" i="18" s="1"/>
  <c r="N378" i="18"/>
  <c r="O378" i="18"/>
  <c r="O381" i="18"/>
  <c r="P381" i="18"/>
  <c r="L382" i="18"/>
  <c r="L380" i="18" s="1"/>
  <c r="O380" i="18" s="1"/>
  <c r="M382" i="18"/>
  <c r="M380" i="18" s="1"/>
  <c r="P380" i="18" s="1"/>
  <c r="N382" i="18"/>
  <c r="N380" i="18" s="1"/>
  <c r="O384" i="18"/>
  <c r="P384" i="18"/>
  <c r="L385" i="18"/>
  <c r="L383" i="18" s="1"/>
  <c r="O383" i="18" s="1"/>
  <c r="M385" i="18"/>
  <c r="M383" i="18" s="1"/>
  <c r="P383" i="18" s="1"/>
  <c r="N385" i="18"/>
  <c r="N383" i="18" s="1"/>
  <c r="K387" i="18"/>
  <c r="K388" i="18"/>
  <c r="A391" i="18"/>
  <c r="A3" i="17"/>
  <c r="L22" i="17"/>
  <c r="M22" i="17"/>
  <c r="P22" i="17" s="1"/>
  <c r="N22" i="17"/>
  <c r="L25" i="17"/>
  <c r="O25" i="17" s="1"/>
  <c r="M25" i="17"/>
  <c r="N25" i="17"/>
  <c r="L45" i="17"/>
  <c r="M45" i="17"/>
  <c r="P45" i="17" s="1"/>
  <c r="N45" i="17"/>
  <c r="O45" i="17"/>
  <c r="O48" i="17"/>
  <c r="P48" i="17"/>
  <c r="L49" i="17"/>
  <c r="L47" i="17" s="1"/>
  <c r="M49" i="17"/>
  <c r="M47" i="17" s="1"/>
  <c r="N49" i="17"/>
  <c r="N47" i="17" s="1"/>
  <c r="O51" i="17"/>
  <c r="P51" i="17"/>
  <c r="L52" i="17"/>
  <c r="L50" i="17" s="1"/>
  <c r="O50" i="17" s="1"/>
  <c r="M52" i="17"/>
  <c r="P52" i="17" s="1"/>
  <c r="N52" i="17"/>
  <c r="N50" i="17" s="1"/>
  <c r="L60" i="17"/>
  <c r="M60" i="17"/>
  <c r="N60" i="17"/>
  <c r="P60" i="17"/>
  <c r="O63" i="17"/>
  <c r="P63" i="17"/>
  <c r="L64" i="17"/>
  <c r="M64" i="17"/>
  <c r="N64" i="17"/>
  <c r="N62" i="17" s="1"/>
  <c r="O66" i="17"/>
  <c r="P66" i="17"/>
  <c r="L67" i="17"/>
  <c r="O67" i="17" s="1"/>
  <c r="M67" i="17"/>
  <c r="N67" i="17"/>
  <c r="N65" i="17" s="1"/>
  <c r="J71" i="17"/>
  <c r="L73" i="17"/>
  <c r="O73" i="17" s="1"/>
  <c r="M73" i="17"/>
  <c r="P73" i="17" s="1"/>
  <c r="N73" i="17"/>
  <c r="O76" i="17"/>
  <c r="P76" i="17"/>
  <c r="L77" i="17"/>
  <c r="M77" i="17"/>
  <c r="M75" i="17" s="1"/>
  <c r="P75" i="17" s="1"/>
  <c r="N77" i="17"/>
  <c r="N75" i="17" s="1"/>
  <c r="O79" i="17"/>
  <c r="P79" i="17"/>
  <c r="L80" i="17"/>
  <c r="M80" i="17"/>
  <c r="M78" i="17" s="1"/>
  <c r="P78" i="17" s="1"/>
  <c r="N80" i="17"/>
  <c r="N78" i="17" s="1"/>
  <c r="J82" i="17"/>
  <c r="J70" i="17" s="1"/>
  <c r="J83" i="17"/>
  <c r="I84" i="17"/>
  <c r="I85" i="17"/>
  <c r="K85" i="17" s="1"/>
  <c r="I86" i="17"/>
  <c r="K86" i="17" s="1"/>
  <c r="I87" i="17"/>
  <c r="K87" i="17" s="1"/>
  <c r="I88" i="17"/>
  <c r="K88" i="17" s="1"/>
  <c r="I89" i="17"/>
  <c r="K89" i="17" s="1"/>
  <c r="I90" i="17"/>
  <c r="K90" i="17" s="1"/>
  <c r="J92" i="17"/>
  <c r="J93" i="17"/>
  <c r="L95" i="17"/>
  <c r="O95" i="17" s="1"/>
  <c r="M95" i="17"/>
  <c r="N95" i="17"/>
  <c r="P95" i="17"/>
  <c r="O98" i="17"/>
  <c r="P98" i="17"/>
  <c r="L99" i="17"/>
  <c r="O99" i="17" s="1"/>
  <c r="M99" i="17"/>
  <c r="N99" i="17"/>
  <c r="O101" i="17"/>
  <c r="P101" i="17"/>
  <c r="L102" i="17"/>
  <c r="L100" i="17" s="1"/>
  <c r="O100" i="17" s="1"/>
  <c r="M102" i="17"/>
  <c r="N102" i="17"/>
  <c r="N100" i="17" s="1"/>
  <c r="I108" i="17"/>
  <c r="K108" i="17" s="1"/>
  <c r="I109" i="17"/>
  <c r="I93" i="17" s="1"/>
  <c r="K93" i="17" s="1"/>
  <c r="I117" i="17"/>
  <c r="K117" i="17" s="1"/>
  <c r="L126" i="17"/>
  <c r="O126" i="17" s="1"/>
  <c r="M126" i="17"/>
  <c r="P126" i="17" s="1"/>
  <c r="N126" i="17"/>
  <c r="O129" i="17"/>
  <c r="P129" i="17"/>
  <c r="L130" i="17"/>
  <c r="O130" i="17" s="1"/>
  <c r="M130" i="17"/>
  <c r="M128" i="17" s="1"/>
  <c r="P128" i="17" s="1"/>
  <c r="N130" i="17"/>
  <c r="N128" i="17" s="1"/>
  <c r="O132" i="17"/>
  <c r="P132" i="17"/>
  <c r="L133" i="17"/>
  <c r="O133" i="17" s="1"/>
  <c r="M133" i="17"/>
  <c r="M131" i="17" s="1"/>
  <c r="P131" i="17" s="1"/>
  <c r="N133" i="17"/>
  <c r="N131" i="17" s="1"/>
  <c r="J136" i="17"/>
  <c r="J137" i="17"/>
  <c r="J138" i="17"/>
  <c r="L140" i="17"/>
  <c r="O140" i="17" s="1"/>
  <c r="M140" i="17"/>
  <c r="N140" i="17"/>
  <c r="O143" i="17"/>
  <c r="P143" i="17"/>
  <c r="L144" i="17"/>
  <c r="L142" i="17" s="1"/>
  <c r="M144" i="17"/>
  <c r="M142" i="17" s="1"/>
  <c r="N144" i="17"/>
  <c r="N142" i="17" s="1"/>
  <c r="O146" i="17"/>
  <c r="P146" i="17"/>
  <c r="L147" i="17"/>
  <c r="M147" i="17"/>
  <c r="M145" i="17" s="1"/>
  <c r="P145" i="17" s="1"/>
  <c r="N147" i="17"/>
  <c r="N145" i="17" s="1"/>
  <c r="I150" i="17"/>
  <c r="K150" i="17" s="1"/>
  <c r="I151" i="17"/>
  <c r="K151" i="17" s="1"/>
  <c r="I152" i="17"/>
  <c r="K152" i="17" s="1"/>
  <c r="I153" i="17"/>
  <c r="K153" i="17" s="1"/>
  <c r="I154" i="17"/>
  <c r="I136" i="17" s="1"/>
  <c r="J156" i="17"/>
  <c r="L158" i="17"/>
  <c r="M158" i="17"/>
  <c r="N158" i="17"/>
  <c r="O158" i="17"/>
  <c r="P158" i="17"/>
  <c r="O161" i="17"/>
  <c r="P161" i="17"/>
  <c r="L162" i="17"/>
  <c r="O162" i="17" s="1"/>
  <c r="M162" i="17"/>
  <c r="N162" i="17"/>
  <c r="O164" i="17"/>
  <c r="P164" i="17"/>
  <c r="L165" i="17"/>
  <c r="O165" i="17" s="1"/>
  <c r="M165" i="17"/>
  <c r="M163" i="17" s="1"/>
  <c r="P163" i="17" s="1"/>
  <c r="N165" i="17"/>
  <c r="N163" i="17" s="1"/>
  <c r="I167" i="17"/>
  <c r="K167" i="17" s="1"/>
  <c r="I168" i="17"/>
  <c r="K168" i="17" s="1"/>
  <c r="I169" i="17"/>
  <c r="I156" i="17" s="1"/>
  <c r="K156" i="17" s="1"/>
  <c r="J172" i="17"/>
  <c r="L174" i="17"/>
  <c r="O174" i="17" s="1"/>
  <c r="M174" i="17"/>
  <c r="P174" i="17" s="1"/>
  <c r="N174" i="17"/>
  <c r="O177" i="17"/>
  <c r="P177" i="17"/>
  <c r="L178" i="17"/>
  <c r="M178" i="17"/>
  <c r="N178" i="17"/>
  <c r="O180" i="17"/>
  <c r="P180" i="17"/>
  <c r="L181" i="17"/>
  <c r="O181" i="17" s="1"/>
  <c r="M181" i="17"/>
  <c r="M179" i="17" s="1"/>
  <c r="P179" i="17" s="1"/>
  <c r="N181" i="17"/>
  <c r="N179" i="17" s="1"/>
  <c r="I183" i="17"/>
  <c r="K183" i="17" s="1"/>
  <c r="K184" i="17"/>
  <c r="L187" i="17"/>
  <c r="O187" i="17" s="1"/>
  <c r="M187" i="17"/>
  <c r="P187" i="17" s="1"/>
  <c r="N187" i="17"/>
  <c r="O190" i="17"/>
  <c r="P190" i="17"/>
  <c r="L191" i="17"/>
  <c r="M191" i="17"/>
  <c r="M189" i="17" s="1"/>
  <c r="N191" i="17"/>
  <c r="N189" i="17" s="1"/>
  <c r="O193" i="17"/>
  <c r="P193" i="17"/>
  <c r="L194" i="17"/>
  <c r="L192" i="17" s="1"/>
  <c r="O192" i="17" s="1"/>
  <c r="M194" i="17"/>
  <c r="M192" i="17" s="1"/>
  <c r="P192" i="17" s="1"/>
  <c r="N194" i="17"/>
  <c r="N192" i="17" s="1"/>
  <c r="J195" i="17"/>
  <c r="L196" i="17"/>
  <c r="O196" i="17" s="1"/>
  <c r="P196" i="17"/>
  <c r="I198" i="17"/>
  <c r="K198" i="17" s="1"/>
  <c r="J199" i="17"/>
  <c r="J202" i="17"/>
  <c r="N203" i="17"/>
  <c r="P203" i="17"/>
  <c r="L204" i="17"/>
  <c r="L205" i="17"/>
  <c r="L206" i="17"/>
  <c r="L207" i="17"/>
  <c r="I209" i="17"/>
  <c r="K209" i="17" s="1"/>
  <c r="I211" i="17"/>
  <c r="K211" i="17" s="1"/>
  <c r="I212" i="17"/>
  <c r="K212" i="17" s="1"/>
  <c r="J213" i="17"/>
  <c r="N214" i="17"/>
  <c r="P214" i="17"/>
  <c r="L215" i="17"/>
  <c r="L216" i="17"/>
  <c r="L217" i="17"/>
  <c r="I219" i="17"/>
  <c r="K219" i="17" s="1"/>
  <c r="I220" i="17"/>
  <c r="I213" i="17" s="1"/>
  <c r="K213" i="17" s="1"/>
  <c r="J221" i="17"/>
  <c r="N222" i="17"/>
  <c r="P222" i="17"/>
  <c r="L223" i="17"/>
  <c r="L224" i="17"/>
  <c r="L225" i="17"/>
  <c r="I228" i="17"/>
  <c r="K228" i="17" s="1"/>
  <c r="I229" i="17"/>
  <c r="I221" i="17" s="1"/>
  <c r="K221" i="17" s="1"/>
  <c r="I230" i="17"/>
  <c r="K230" i="17" s="1"/>
  <c r="N233" i="17"/>
  <c r="N234" i="17"/>
  <c r="N235" i="17"/>
  <c r="N236" i="17"/>
  <c r="J238" i="17"/>
  <c r="I240" i="17"/>
  <c r="K240" i="17" s="1"/>
  <c r="J240" i="17"/>
  <c r="I241" i="17"/>
  <c r="K241" i="17" s="1"/>
  <c r="J241" i="17"/>
  <c r="J242" i="17"/>
  <c r="N243" i="17"/>
  <c r="P243" i="17"/>
  <c r="L244" i="17"/>
  <c r="L245" i="17"/>
  <c r="L246" i="17"/>
  <c r="L247" i="17"/>
  <c r="I249" i="17"/>
  <c r="K251" i="17"/>
  <c r="K252" i="17"/>
  <c r="J253" i="17"/>
  <c r="J231" i="17" s="1"/>
  <c r="J185" i="17" s="1"/>
  <c r="N254" i="17"/>
  <c r="P254" i="17"/>
  <c r="L255" i="17"/>
  <c r="L256" i="17"/>
  <c r="L257" i="17"/>
  <c r="L258" i="17"/>
  <c r="I260" i="17"/>
  <c r="I253" i="17" s="1"/>
  <c r="K253" i="17" s="1"/>
  <c r="K262" i="17"/>
  <c r="K263" i="17"/>
  <c r="I265" i="17"/>
  <c r="K265" i="17" s="1"/>
  <c r="J265" i="17"/>
  <c r="L267" i="17"/>
  <c r="O267" i="17" s="1"/>
  <c r="M267" i="17"/>
  <c r="P267" i="17" s="1"/>
  <c r="N267" i="17"/>
  <c r="O270" i="17"/>
  <c r="P270" i="17"/>
  <c r="L271" i="17"/>
  <c r="O271" i="17" s="1"/>
  <c r="M271" i="17"/>
  <c r="M269" i="17" s="1"/>
  <c r="P269" i="17" s="1"/>
  <c r="N271" i="17"/>
  <c r="N269" i="17" s="1"/>
  <c r="O273" i="17"/>
  <c r="P273" i="17"/>
  <c r="L274" i="17"/>
  <c r="O274" i="17" s="1"/>
  <c r="M274" i="17"/>
  <c r="M272" i="17" s="1"/>
  <c r="P272" i="17" s="1"/>
  <c r="N274" i="17"/>
  <c r="N272" i="17" s="1"/>
  <c r="J281" i="17"/>
  <c r="L283" i="17"/>
  <c r="O283" i="17" s="1"/>
  <c r="M283" i="17"/>
  <c r="P283" i="17" s="1"/>
  <c r="N283" i="17"/>
  <c r="O286" i="17"/>
  <c r="P286" i="17"/>
  <c r="L287" i="17"/>
  <c r="M287" i="17"/>
  <c r="N287" i="17"/>
  <c r="O289" i="17"/>
  <c r="P289" i="17"/>
  <c r="L290" i="17"/>
  <c r="O290" i="17" s="1"/>
  <c r="M290" i="17"/>
  <c r="M288" i="17" s="1"/>
  <c r="P288" i="17" s="1"/>
  <c r="N290" i="17"/>
  <c r="N288" i="17" s="1"/>
  <c r="I292" i="17"/>
  <c r="K292" i="17" s="1"/>
  <c r="I293" i="17"/>
  <c r="I280" i="17" s="1"/>
  <c r="J293" i="17"/>
  <c r="J280" i="17" s="1"/>
  <c r="I295" i="17"/>
  <c r="K295" i="17" s="1"/>
  <c r="I296" i="17"/>
  <c r="K296" i="17" s="1"/>
  <c r="J302" i="17"/>
  <c r="L304" i="17"/>
  <c r="M304" i="17"/>
  <c r="P304" i="17" s="1"/>
  <c r="N304" i="17"/>
  <c r="O307" i="17"/>
  <c r="P307" i="17"/>
  <c r="L308" i="17"/>
  <c r="M308" i="17"/>
  <c r="M306" i="17" s="1"/>
  <c r="N308" i="17"/>
  <c r="N306" i="17" s="1"/>
  <c r="O310" i="17"/>
  <c r="P310" i="17"/>
  <c r="L311" i="17"/>
  <c r="L309" i="17" s="1"/>
  <c r="O309" i="17" s="1"/>
  <c r="M311" i="17"/>
  <c r="M309" i="17" s="1"/>
  <c r="P309" i="17" s="1"/>
  <c r="N311" i="17"/>
  <c r="N309" i="17" s="1"/>
  <c r="I314" i="17"/>
  <c r="K314" i="17" s="1"/>
  <c r="I315" i="17"/>
  <c r="K315" i="17" s="1"/>
  <c r="I316" i="17"/>
  <c r="K316" i="17" s="1"/>
  <c r="I317" i="17"/>
  <c r="K317" i="17" s="1"/>
  <c r="J319" i="17"/>
  <c r="L321" i="17"/>
  <c r="O321" i="17" s="1"/>
  <c r="M321" i="17"/>
  <c r="N321" i="17"/>
  <c r="O324" i="17"/>
  <c r="P324" i="17"/>
  <c r="L325" i="17"/>
  <c r="L323" i="17" s="1"/>
  <c r="O323" i="17" s="1"/>
  <c r="M325" i="17"/>
  <c r="M323" i="17" s="1"/>
  <c r="P323" i="17" s="1"/>
  <c r="N325" i="17"/>
  <c r="N323" i="17" s="1"/>
  <c r="O327" i="17"/>
  <c r="P327" i="17"/>
  <c r="L328" i="17"/>
  <c r="L326" i="17" s="1"/>
  <c r="O326" i="17" s="1"/>
  <c r="M328" i="17"/>
  <c r="M326" i="17" s="1"/>
  <c r="P326" i="17" s="1"/>
  <c r="N328" i="17"/>
  <c r="N326" i="17" s="1"/>
  <c r="I330" i="17"/>
  <c r="I319" i="17" s="1"/>
  <c r="K319" i="17" s="1"/>
  <c r="L334" i="17"/>
  <c r="O334" i="17" s="1"/>
  <c r="M334" i="17"/>
  <c r="N334" i="17"/>
  <c r="O337" i="17"/>
  <c r="P337" i="17"/>
  <c r="L338" i="17"/>
  <c r="M338" i="17"/>
  <c r="N338" i="17"/>
  <c r="O340" i="17"/>
  <c r="P340" i="17"/>
  <c r="L341" i="17"/>
  <c r="O341" i="17" s="1"/>
  <c r="M341" i="17"/>
  <c r="P341" i="17" s="1"/>
  <c r="N341" i="17"/>
  <c r="N339" i="17" s="1"/>
  <c r="I344" i="17"/>
  <c r="I332" i="17" s="1"/>
  <c r="J344" i="17"/>
  <c r="I346" i="17"/>
  <c r="J346" i="17"/>
  <c r="J347" i="17"/>
  <c r="J348" i="17"/>
  <c r="J349" i="17"/>
  <c r="D350" i="17"/>
  <c r="J352" i="17"/>
  <c r="J353" i="17"/>
  <c r="D354" i="17"/>
  <c r="L357" i="17"/>
  <c r="O357" i="17" s="1"/>
  <c r="M357" i="17"/>
  <c r="N357" i="17"/>
  <c r="O360" i="17"/>
  <c r="P360" i="17"/>
  <c r="L361" i="17"/>
  <c r="L359" i="17" s="1"/>
  <c r="M361" i="17"/>
  <c r="N361" i="17"/>
  <c r="O363" i="17"/>
  <c r="P363" i="17"/>
  <c r="L364" i="17"/>
  <c r="O364" i="17" s="1"/>
  <c r="M364" i="17"/>
  <c r="P364" i="17" s="1"/>
  <c r="N364" i="17"/>
  <c r="N362" i="17" s="1"/>
  <c r="J367" i="17"/>
  <c r="K367" i="17"/>
  <c r="I368" i="17"/>
  <c r="J368" i="17"/>
  <c r="I369" i="17"/>
  <c r="J369" i="17"/>
  <c r="J370" i="17"/>
  <c r="K370" i="17"/>
  <c r="I371" i="17"/>
  <c r="J371" i="17"/>
  <c r="J365" i="17" s="1"/>
  <c r="J372" i="17"/>
  <c r="K372" i="17"/>
  <c r="D373" i="17"/>
  <c r="I376" i="17"/>
  <c r="K376" i="17" s="1"/>
  <c r="J376" i="17"/>
  <c r="L378" i="17"/>
  <c r="M378" i="17"/>
  <c r="N378" i="17"/>
  <c r="P378" i="17"/>
  <c r="O381" i="17"/>
  <c r="P381" i="17"/>
  <c r="L382" i="17"/>
  <c r="O382" i="17" s="1"/>
  <c r="M382" i="17"/>
  <c r="N382" i="17"/>
  <c r="O384" i="17"/>
  <c r="P384" i="17"/>
  <c r="L385" i="17"/>
  <c r="O385" i="17" s="1"/>
  <c r="M385" i="17"/>
  <c r="P385" i="17" s="1"/>
  <c r="N385" i="17"/>
  <c r="N383" i="17" s="1"/>
  <c r="K387" i="17"/>
  <c r="K388" i="17"/>
  <c r="A391" i="17"/>
  <c r="A3" i="16"/>
  <c r="L22" i="16"/>
  <c r="M22" i="16"/>
  <c r="N22" i="16"/>
  <c r="P22" i="16"/>
  <c r="L25" i="16"/>
  <c r="O25" i="16" s="1"/>
  <c r="M25" i="16"/>
  <c r="N25" i="16"/>
  <c r="L45" i="16"/>
  <c r="M45" i="16"/>
  <c r="P45" i="16" s="1"/>
  <c r="N45" i="16"/>
  <c r="O45" i="16"/>
  <c r="O48" i="16"/>
  <c r="P48" i="16"/>
  <c r="L49" i="16"/>
  <c r="L47" i="16" s="1"/>
  <c r="M49" i="16"/>
  <c r="M47" i="16" s="1"/>
  <c r="N49" i="16"/>
  <c r="N47" i="16" s="1"/>
  <c r="O51" i="16"/>
  <c r="P51" i="16"/>
  <c r="L52" i="16"/>
  <c r="L50" i="16" s="1"/>
  <c r="O50" i="16" s="1"/>
  <c r="M52" i="16"/>
  <c r="P52" i="16" s="1"/>
  <c r="N52" i="16"/>
  <c r="L60" i="16"/>
  <c r="M60" i="16"/>
  <c r="N60" i="16"/>
  <c r="P60" i="16"/>
  <c r="O63" i="16"/>
  <c r="P63" i="16"/>
  <c r="L64" i="16"/>
  <c r="L62" i="16" s="1"/>
  <c r="M64" i="16"/>
  <c r="N64" i="16"/>
  <c r="O66" i="16"/>
  <c r="P66" i="16"/>
  <c r="L67" i="16"/>
  <c r="L65" i="16" s="1"/>
  <c r="O65" i="16" s="1"/>
  <c r="M67" i="16"/>
  <c r="N67" i="16"/>
  <c r="N65" i="16" s="1"/>
  <c r="L73" i="16"/>
  <c r="O73" i="16" s="1"/>
  <c r="M73" i="16"/>
  <c r="N73" i="16"/>
  <c r="O76" i="16"/>
  <c r="P76" i="16"/>
  <c r="L77" i="16"/>
  <c r="M77" i="16"/>
  <c r="N77" i="16"/>
  <c r="N75" i="16" s="1"/>
  <c r="O79" i="16"/>
  <c r="P79" i="16"/>
  <c r="L80" i="16"/>
  <c r="M80" i="16"/>
  <c r="M78" i="16" s="1"/>
  <c r="P78" i="16" s="1"/>
  <c r="N80" i="16"/>
  <c r="N78" i="16" s="1"/>
  <c r="J82" i="16"/>
  <c r="J70" i="16" s="1"/>
  <c r="J83" i="16"/>
  <c r="J71" i="16" s="1"/>
  <c r="I84" i="16"/>
  <c r="K84" i="16" s="1"/>
  <c r="I85" i="16"/>
  <c r="I86" i="16"/>
  <c r="K86" i="16" s="1"/>
  <c r="I87" i="16"/>
  <c r="K87" i="16" s="1"/>
  <c r="I88" i="16"/>
  <c r="K88" i="16" s="1"/>
  <c r="I89" i="16"/>
  <c r="K89" i="16" s="1"/>
  <c r="I90" i="16"/>
  <c r="K90" i="16" s="1"/>
  <c r="J92" i="16"/>
  <c r="J93" i="16"/>
  <c r="L95" i="16"/>
  <c r="O95" i="16" s="1"/>
  <c r="M95" i="16"/>
  <c r="N95" i="16"/>
  <c r="P95" i="16"/>
  <c r="O98" i="16"/>
  <c r="P98" i="16"/>
  <c r="L99" i="16"/>
  <c r="M99" i="16"/>
  <c r="N99" i="16"/>
  <c r="O101" i="16"/>
  <c r="P101" i="16"/>
  <c r="L102" i="16"/>
  <c r="L100" i="16" s="1"/>
  <c r="O100" i="16" s="1"/>
  <c r="M102" i="16"/>
  <c r="N102" i="16"/>
  <c r="N100" i="16" s="1"/>
  <c r="I108" i="16"/>
  <c r="K108" i="16" s="1"/>
  <c r="I109" i="16"/>
  <c r="K109" i="16" s="1"/>
  <c r="I117" i="16"/>
  <c r="K117" i="16" s="1"/>
  <c r="L126" i="16"/>
  <c r="O126" i="16" s="1"/>
  <c r="M126" i="16"/>
  <c r="N126" i="16"/>
  <c r="O129" i="16"/>
  <c r="P129" i="16"/>
  <c r="L130" i="16"/>
  <c r="O130" i="16" s="1"/>
  <c r="M130" i="16"/>
  <c r="M128" i="16" s="1"/>
  <c r="P128" i="16" s="1"/>
  <c r="N130" i="16"/>
  <c r="N128" i="16" s="1"/>
  <c r="O132" i="16"/>
  <c r="P132" i="16"/>
  <c r="L133" i="16"/>
  <c r="O133" i="16" s="1"/>
  <c r="M133" i="16"/>
  <c r="M131" i="16" s="1"/>
  <c r="P131" i="16" s="1"/>
  <c r="N133" i="16"/>
  <c r="N131" i="16" s="1"/>
  <c r="J136" i="16"/>
  <c r="J137" i="16"/>
  <c r="J138" i="16"/>
  <c r="L140" i="16"/>
  <c r="O140" i="16" s="1"/>
  <c r="M140" i="16"/>
  <c r="P140" i="16" s="1"/>
  <c r="N140" i="16"/>
  <c r="O143" i="16"/>
  <c r="P143" i="16"/>
  <c r="L144" i="16"/>
  <c r="O144" i="16" s="1"/>
  <c r="M144" i="16"/>
  <c r="M142" i="16" s="1"/>
  <c r="P142" i="16" s="1"/>
  <c r="N144" i="16"/>
  <c r="N142" i="16" s="1"/>
  <c r="O146" i="16"/>
  <c r="P146" i="16"/>
  <c r="L147" i="16"/>
  <c r="O147" i="16" s="1"/>
  <c r="M147" i="16"/>
  <c r="M145" i="16" s="1"/>
  <c r="P145" i="16" s="1"/>
  <c r="N147" i="16"/>
  <c r="N145" i="16" s="1"/>
  <c r="I150" i="16"/>
  <c r="K150" i="16" s="1"/>
  <c r="I151" i="16"/>
  <c r="K151" i="16" s="1"/>
  <c r="I152" i="16"/>
  <c r="I137" i="16" s="1"/>
  <c r="K137" i="16" s="1"/>
  <c r="I153" i="16"/>
  <c r="K153" i="16" s="1"/>
  <c r="I154" i="16"/>
  <c r="I136" i="16" s="1"/>
  <c r="K136" i="16" s="1"/>
  <c r="J156" i="16"/>
  <c r="L158" i="16"/>
  <c r="O158" i="16" s="1"/>
  <c r="M158" i="16"/>
  <c r="P158" i="16" s="1"/>
  <c r="N158" i="16"/>
  <c r="O161" i="16"/>
  <c r="P161" i="16"/>
  <c r="L162" i="16"/>
  <c r="M162" i="16"/>
  <c r="M160" i="16" s="1"/>
  <c r="P160" i="16" s="1"/>
  <c r="N162" i="16"/>
  <c r="N160" i="16" s="1"/>
  <c r="O164" i="16"/>
  <c r="P164" i="16"/>
  <c r="L165" i="16"/>
  <c r="O165" i="16" s="1"/>
  <c r="M165" i="16"/>
  <c r="P165" i="16" s="1"/>
  <c r="N165" i="16"/>
  <c r="N163" i="16" s="1"/>
  <c r="I167" i="16"/>
  <c r="K167" i="16" s="1"/>
  <c r="J172" i="16"/>
  <c r="L174" i="16"/>
  <c r="O174" i="16" s="1"/>
  <c r="M174" i="16"/>
  <c r="N174" i="16"/>
  <c r="P174" i="16"/>
  <c r="O177" i="16"/>
  <c r="P177" i="16"/>
  <c r="L178" i="16"/>
  <c r="M178" i="16"/>
  <c r="M176" i="16" s="1"/>
  <c r="N178" i="16"/>
  <c r="N176" i="16" s="1"/>
  <c r="O180" i="16"/>
  <c r="P180" i="16"/>
  <c r="L181" i="16"/>
  <c r="O181" i="16" s="1"/>
  <c r="M181" i="16"/>
  <c r="M179" i="16" s="1"/>
  <c r="P179" i="16" s="1"/>
  <c r="N181" i="16"/>
  <c r="N179" i="16" s="1"/>
  <c r="I183" i="16"/>
  <c r="I172" i="16" s="1"/>
  <c r="K184" i="16"/>
  <c r="L187" i="16"/>
  <c r="M187" i="16"/>
  <c r="N187" i="16"/>
  <c r="O187" i="16"/>
  <c r="O190" i="16"/>
  <c r="P190" i="16"/>
  <c r="L191" i="16"/>
  <c r="L189" i="16" s="1"/>
  <c r="M191" i="16"/>
  <c r="M189" i="16" s="1"/>
  <c r="N191" i="16"/>
  <c r="N189" i="16" s="1"/>
  <c r="O193" i="16"/>
  <c r="P193" i="16"/>
  <c r="L194" i="16"/>
  <c r="L192" i="16" s="1"/>
  <c r="O192" i="16" s="1"/>
  <c r="M194" i="16"/>
  <c r="M192" i="16" s="1"/>
  <c r="P192" i="16" s="1"/>
  <c r="N194" i="16"/>
  <c r="N192" i="16" s="1"/>
  <c r="J195" i="16"/>
  <c r="L196" i="16"/>
  <c r="O196" i="16" s="1"/>
  <c r="P196" i="16"/>
  <c r="I198" i="16"/>
  <c r="K198" i="16" s="1"/>
  <c r="J199" i="16"/>
  <c r="J202" i="16"/>
  <c r="N203" i="16"/>
  <c r="P203" i="16"/>
  <c r="L204" i="16"/>
  <c r="L205" i="16"/>
  <c r="L206" i="16"/>
  <c r="L207" i="16"/>
  <c r="I209" i="16"/>
  <c r="I202" i="16" s="1"/>
  <c r="I211" i="16"/>
  <c r="K211" i="16" s="1"/>
  <c r="I212" i="16"/>
  <c r="K212" i="16" s="1"/>
  <c r="J213" i="16"/>
  <c r="N214" i="16"/>
  <c r="P214" i="16"/>
  <c r="L215" i="16"/>
  <c r="L216" i="16"/>
  <c r="L217" i="16"/>
  <c r="I219" i="16"/>
  <c r="K219" i="16" s="1"/>
  <c r="I220" i="16"/>
  <c r="K220" i="16" s="1"/>
  <c r="J221" i="16"/>
  <c r="N222" i="16"/>
  <c r="P222" i="16"/>
  <c r="L223" i="16"/>
  <c r="L224" i="16"/>
  <c r="L225" i="16"/>
  <c r="I228" i="16"/>
  <c r="K228" i="16" s="1"/>
  <c r="I229" i="16"/>
  <c r="K229" i="16" s="1"/>
  <c r="I230" i="16"/>
  <c r="K230" i="16" s="1"/>
  <c r="N233" i="16"/>
  <c r="N234" i="16"/>
  <c r="N235" i="16"/>
  <c r="N236" i="16"/>
  <c r="J238" i="16"/>
  <c r="I240" i="16"/>
  <c r="K240" i="16" s="1"/>
  <c r="J240" i="16"/>
  <c r="I241" i="16"/>
  <c r="K241" i="16" s="1"/>
  <c r="J241" i="16"/>
  <c r="J242" i="16"/>
  <c r="N243" i="16"/>
  <c r="P243" i="16"/>
  <c r="L244" i="16"/>
  <c r="L245" i="16"/>
  <c r="L246" i="16"/>
  <c r="L247" i="16"/>
  <c r="I249" i="16"/>
  <c r="I242" i="16" s="1"/>
  <c r="K242" i="16" s="1"/>
  <c r="K251" i="16"/>
  <c r="K252" i="16"/>
  <c r="J253" i="16"/>
  <c r="J231" i="16" s="1"/>
  <c r="J185" i="16" s="1"/>
  <c r="N254" i="16"/>
  <c r="N232" i="16" s="1"/>
  <c r="P254" i="16"/>
  <c r="L255" i="16"/>
  <c r="L256" i="16"/>
  <c r="L257" i="16"/>
  <c r="L258" i="16"/>
  <c r="I260" i="16"/>
  <c r="K262" i="16"/>
  <c r="K263" i="16"/>
  <c r="I265" i="16"/>
  <c r="J265" i="16"/>
  <c r="K265" i="16"/>
  <c r="L267" i="16"/>
  <c r="O267" i="16" s="1"/>
  <c r="M267" i="16"/>
  <c r="N267" i="16"/>
  <c r="O270" i="16"/>
  <c r="P270" i="16"/>
  <c r="L271" i="16"/>
  <c r="L269" i="16" s="1"/>
  <c r="O269" i="16" s="1"/>
  <c r="M271" i="16"/>
  <c r="M269" i="16" s="1"/>
  <c r="P269" i="16" s="1"/>
  <c r="N271" i="16"/>
  <c r="N269" i="16" s="1"/>
  <c r="O273" i="16"/>
  <c r="P273" i="16"/>
  <c r="L274" i="16"/>
  <c r="L272" i="16" s="1"/>
  <c r="O272" i="16" s="1"/>
  <c r="M274" i="16"/>
  <c r="M272" i="16" s="1"/>
  <c r="P272" i="16" s="1"/>
  <c r="N274" i="16"/>
  <c r="N272" i="16" s="1"/>
  <c r="J281" i="16"/>
  <c r="L283" i="16"/>
  <c r="O283" i="16" s="1"/>
  <c r="M283" i="16"/>
  <c r="P283" i="16" s="1"/>
  <c r="N283" i="16"/>
  <c r="O286" i="16"/>
  <c r="P286" i="16"/>
  <c r="L287" i="16"/>
  <c r="M287" i="16"/>
  <c r="M285" i="16" s="1"/>
  <c r="N287" i="16"/>
  <c r="N285" i="16" s="1"/>
  <c r="O289" i="16"/>
  <c r="P289" i="16"/>
  <c r="L290" i="16"/>
  <c r="O290" i="16" s="1"/>
  <c r="M290" i="16"/>
  <c r="M288" i="16" s="1"/>
  <c r="P288" i="16" s="1"/>
  <c r="N290" i="16"/>
  <c r="N288" i="16" s="1"/>
  <c r="I292" i="16"/>
  <c r="I281" i="16" s="1"/>
  <c r="I293" i="16"/>
  <c r="J293" i="16"/>
  <c r="J280" i="16" s="1"/>
  <c r="I295" i="16"/>
  <c r="K295" i="16" s="1"/>
  <c r="I296" i="16"/>
  <c r="K296" i="16" s="1"/>
  <c r="J302" i="16"/>
  <c r="L304" i="16"/>
  <c r="M304" i="16"/>
  <c r="N304" i="16"/>
  <c r="O304" i="16"/>
  <c r="O307" i="16"/>
  <c r="P307" i="16"/>
  <c r="L308" i="16"/>
  <c r="M308" i="16"/>
  <c r="M306" i="16" s="1"/>
  <c r="P306" i="16" s="1"/>
  <c r="N308" i="16"/>
  <c r="N306" i="16" s="1"/>
  <c r="O310" i="16"/>
  <c r="P310" i="16"/>
  <c r="L311" i="16"/>
  <c r="L309" i="16" s="1"/>
  <c r="O309" i="16" s="1"/>
  <c r="M311" i="16"/>
  <c r="M309" i="16" s="1"/>
  <c r="P309" i="16" s="1"/>
  <c r="N311" i="16"/>
  <c r="N309" i="16" s="1"/>
  <c r="I314" i="16"/>
  <c r="K314" i="16" s="1"/>
  <c r="I315" i="16"/>
  <c r="K315" i="16" s="1"/>
  <c r="I316" i="16"/>
  <c r="K316" i="16" s="1"/>
  <c r="I317" i="16"/>
  <c r="K317" i="16" s="1"/>
  <c r="J319" i="16"/>
  <c r="L321" i="16"/>
  <c r="O321" i="16" s="1"/>
  <c r="M321" i="16"/>
  <c r="N321" i="16"/>
  <c r="O324" i="16"/>
  <c r="P324" i="16"/>
  <c r="L325" i="16"/>
  <c r="M325" i="16"/>
  <c r="P325" i="16" s="1"/>
  <c r="N325" i="16"/>
  <c r="O327" i="16"/>
  <c r="P327" i="16"/>
  <c r="L328" i="16"/>
  <c r="L326" i="16" s="1"/>
  <c r="O326" i="16" s="1"/>
  <c r="M328" i="16"/>
  <c r="P328" i="16" s="1"/>
  <c r="N328" i="16"/>
  <c r="N326" i="16" s="1"/>
  <c r="I330" i="16"/>
  <c r="K330" i="16" s="1"/>
  <c r="L334" i="16"/>
  <c r="M334" i="16"/>
  <c r="N334" i="16"/>
  <c r="P334" i="16"/>
  <c r="O337" i="16"/>
  <c r="P337" i="16"/>
  <c r="L338" i="16"/>
  <c r="M338" i="16"/>
  <c r="M336" i="16" s="1"/>
  <c r="N338" i="16"/>
  <c r="N336" i="16" s="1"/>
  <c r="O340" i="16"/>
  <c r="P340" i="16"/>
  <c r="L341" i="16"/>
  <c r="O341" i="16" s="1"/>
  <c r="M341" i="16"/>
  <c r="M339" i="16" s="1"/>
  <c r="P339" i="16" s="1"/>
  <c r="N341" i="16"/>
  <c r="N339" i="16" s="1"/>
  <c r="I344" i="16"/>
  <c r="I332" i="16" s="1"/>
  <c r="J344" i="16"/>
  <c r="I346" i="16"/>
  <c r="J346" i="16"/>
  <c r="J347" i="16"/>
  <c r="J348" i="16"/>
  <c r="J349" i="16"/>
  <c r="D350" i="16"/>
  <c r="J352" i="16"/>
  <c r="J353" i="16"/>
  <c r="D354" i="16"/>
  <c r="L357" i="16"/>
  <c r="M357" i="16"/>
  <c r="P357" i="16" s="1"/>
  <c r="N357" i="16"/>
  <c r="O360" i="16"/>
  <c r="P360" i="16"/>
  <c r="L361" i="16"/>
  <c r="M361" i="16"/>
  <c r="M359" i="16" s="1"/>
  <c r="N361" i="16"/>
  <c r="N359" i="16" s="1"/>
  <c r="O363" i="16"/>
  <c r="P363" i="16"/>
  <c r="L364" i="16"/>
  <c r="O364" i="16" s="1"/>
  <c r="M364" i="16"/>
  <c r="M362" i="16" s="1"/>
  <c r="P362" i="16" s="1"/>
  <c r="N364" i="16"/>
  <c r="N362" i="16" s="1"/>
  <c r="J367" i="16"/>
  <c r="K367" i="16"/>
  <c r="I368" i="16"/>
  <c r="J368" i="16"/>
  <c r="I369" i="16"/>
  <c r="J369" i="16"/>
  <c r="J370" i="16"/>
  <c r="K370" i="16"/>
  <c r="I371" i="16"/>
  <c r="I365" i="16" s="1"/>
  <c r="J371" i="16"/>
  <c r="J365" i="16" s="1"/>
  <c r="J372" i="16"/>
  <c r="K372" i="16"/>
  <c r="D373" i="16"/>
  <c r="I376" i="16"/>
  <c r="K376" i="16" s="1"/>
  <c r="J376" i="16"/>
  <c r="L378" i="16"/>
  <c r="M378" i="16"/>
  <c r="N378" i="16"/>
  <c r="O378" i="16"/>
  <c r="P378" i="16"/>
  <c r="O381" i="16"/>
  <c r="P381" i="16"/>
  <c r="L382" i="16"/>
  <c r="L380" i="16" s="1"/>
  <c r="O380" i="16" s="1"/>
  <c r="M382" i="16"/>
  <c r="N382" i="16"/>
  <c r="N380" i="16" s="1"/>
  <c r="O384" i="16"/>
  <c r="P384" i="16"/>
  <c r="L385" i="16"/>
  <c r="L383" i="16" s="1"/>
  <c r="O383" i="16" s="1"/>
  <c r="M385" i="16"/>
  <c r="M383" i="16" s="1"/>
  <c r="P383" i="16" s="1"/>
  <c r="N385" i="16"/>
  <c r="N383" i="16" s="1"/>
  <c r="K387" i="16"/>
  <c r="K388" i="16"/>
  <c r="A391" i="16"/>
  <c r="A3" i="15"/>
  <c r="L22" i="15"/>
  <c r="O22" i="15" s="1"/>
  <c r="M22" i="15"/>
  <c r="N22" i="15"/>
  <c r="L25" i="15"/>
  <c r="L19" i="15" s="1"/>
  <c r="M25" i="15"/>
  <c r="N25" i="15"/>
  <c r="P25" i="15"/>
  <c r="L45" i="15"/>
  <c r="O45" i="15" s="1"/>
  <c r="M45" i="15"/>
  <c r="N45" i="15"/>
  <c r="P45" i="15"/>
  <c r="O48" i="15"/>
  <c r="P48" i="15"/>
  <c r="L49" i="15"/>
  <c r="M49" i="15"/>
  <c r="N49" i="15"/>
  <c r="O51" i="15"/>
  <c r="P51" i="15"/>
  <c r="L52" i="15"/>
  <c r="L50" i="15" s="1"/>
  <c r="O50" i="15" s="1"/>
  <c r="M52" i="15"/>
  <c r="M50" i="15" s="1"/>
  <c r="P50" i="15" s="1"/>
  <c r="N52" i="15"/>
  <c r="N50" i="15" s="1"/>
  <c r="L60" i="15"/>
  <c r="M60" i="15"/>
  <c r="P60" i="15" s="1"/>
  <c r="N60" i="15"/>
  <c r="O63" i="15"/>
  <c r="P63" i="15"/>
  <c r="L64" i="15"/>
  <c r="L62" i="15" s="1"/>
  <c r="M64" i="15"/>
  <c r="N64" i="15"/>
  <c r="N62" i="15" s="1"/>
  <c r="O66" i="15"/>
  <c r="P66" i="15"/>
  <c r="L67" i="15"/>
  <c r="L65" i="15" s="1"/>
  <c r="O65" i="15" s="1"/>
  <c r="M67" i="15"/>
  <c r="P67" i="15" s="1"/>
  <c r="N67" i="15"/>
  <c r="N65" i="15" s="1"/>
  <c r="L73" i="15"/>
  <c r="O73" i="15" s="1"/>
  <c r="M73" i="15"/>
  <c r="N73" i="15"/>
  <c r="P73" i="15"/>
  <c r="O76" i="15"/>
  <c r="P76" i="15"/>
  <c r="L77" i="15"/>
  <c r="L75" i="15" s="1"/>
  <c r="M77" i="15"/>
  <c r="N77" i="15"/>
  <c r="O79" i="15"/>
  <c r="P79" i="15"/>
  <c r="L80" i="15"/>
  <c r="L78" i="15" s="1"/>
  <c r="O78" i="15" s="1"/>
  <c r="M80" i="15"/>
  <c r="M78" i="15" s="1"/>
  <c r="P78" i="15" s="1"/>
  <c r="N80" i="15"/>
  <c r="N78" i="15" s="1"/>
  <c r="J82" i="15"/>
  <c r="J70" i="15" s="1"/>
  <c r="J83" i="15"/>
  <c r="J71" i="15" s="1"/>
  <c r="I84" i="15"/>
  <c r="K84" i="15" s="1"/>
  <c r="I85" i="15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M95" i="15"/>
  <c r="P95" i="15" s="1"/>
  <c r="N95" i="15"/>
  <c r="O95" i="15"/>
  <c r="O98" i="15"/>
  <c r="P98" i="15"/>
  <c r="L99" i="15"/>
  <c r="M99" i="15"/>
  <c r="M97" i="15" s="1"/>
  <c r="N99" i="15"/>
  <c r="N97" i="15" s="1"/>
  <c r="O101" i="15"/>
  <c r="P101" i="15"/>
  <c r="L102" i="15"/>
  <c r="O102" i="15" s="1"/>
  <c r="M102" i="15"/>
  <c r="M100" i="15" s="1"/>
  <c r="P100" i="15" s="1"/>
  <c r="N102" i="15"/>
  <c r="N100" i="15" s="1"/>
  <c r="I108" i="15"/>
  <c r="I109" i="15"/>
  <c r="K109" i="15" s="1"/>
  <c r="I117" i="15"/>
  <c r="K117" i="15" s="1"/>
  <c r="L126" i="15"/>
  <c r="O126" i="15" s="1"/>
  <c r="M126" i="15"/>
  <c r="N126" i="15"/>
  <c r="O129" i="15"/>
  <c r="P129" i="15"/>
  <c r="L130" i="15"/>
  <c r="M130" i="15"/>
  <c r="M128" i="15" s="1"/>
  <c r="P128" i="15" s="1"/>
  <c r="N130" i="15"/>
  <c r="N128" i="15" s="1"/>
  <c r="O132" i="15"/>
  <c r="P132" i="15"/>
  <c r="L133" i="15"/>
  <c r="L131" i="15" s="1"/>
  <c r="O131" i="15" s="1"/>
  <c r="M133" i="15"/>
  <c r="M131" i="15" s="1"/>
  <c r="P131" i="15" s="1"/>
  <c r="N133" i="15"/>
  <c r="J136" i="15"/>
  <c r="J137" i="15"/>
  <c r="J138" i="15"/>
  <c r="L140" i="15"/>
  <c r="O140" i="15" s="1"/>
  <c r="M140" i="15"/>
  <c r="N140" i="15"/>
  <c r="O143" i="15"/>
  <c r="P143" i="15"/>
  <c r="L144" i="15"/>
  <c r="M144" i="15"/>
  <c r="M142" i="15" s="1"/>
  <c r="P142" i="15" s="1"/>
  <c r="N144" i="15"/>
  <c r="N142" i="15" s="1"/>
  <c r="O146" i="15"/>
  <c r="P146" i="15"/>
  <c r="L147" i="15"/>
  <c r="L145" i="15" s="1"/>
  <c r="O145" i="15" s="1"/>
  <c r="M147" i="15"/>
  <c r="M145" i="15" s="1"/>
  <c r="P145" i="15" s="1"/>
  <c r="N147" i="15"/>
  <c r="I150" i="15"/>
  <c r="K150" i="15" s="1"/>
  <c r="I151" i="15"/>
  <c r="K151" i="15" s="1"/>
  <c r="I152" i="15"/>
  <c r="K152" i="15" s="1"/>
  <c r="I153" i="15"/>
  <c r="I138" i="15" s="1"/>
  <c r="K138" i="15" s="1"/>
  <c r="I154" i="15"/>
  <c r="J156" i="15"/>
  <c r="L158" i="15"/>
  <c r="O158" i="15" s="1"/>
  <c r="M158" i="15"/>
  <c r="N158" i="15"/>
  <c r="P158" i="15"/>
  <c r="O161" i="15"/>
  <c r="P161" i="15"/>
  <c r="L162" i="15"/>
  <c r="L160" i="15" s="1"/>
  <c r="M162" i="15"/>
  <c r="P162" i="15" s="1"/>
  <c r="N162" i="15"/>
  <c r="O164" i="15"/>
  <c r="P164" i="15"/>
  <c r="L165" i="15"/>
  <c r="L163" i="15" s="1"/>
  <c r="O163" i="15" s="1"/>
  <c r="M165" i="15"/>
  <c r="P165" i="15" s="1"/>
  <c r="N165" i="15"/>
  <c r="N163" i="15" s="1"/>
  <c r="I167" i="15"/>
  <c r="I156" i="15" s="1"/>
  <c r="K156" i="15" s="1"/>
  <c r="J172" i="15"/>
  <c r="L174" i="15"/>
  <c r="M174" i="15"/>
  <c r="P174" i="15" s="1"/>
  <c r="N174" i="15"/>
  <c r="O177" i="15"/>
  <c r="P177" i="15"/>
  <c r="L178" i="15"/>
  <c r="L176" i="15" s="1"/>
  <c r="M178" i="15"/>
  <c r="N178" i="15"/>
  <c r="O180" i="15"/>
  <c r="P180" i="15"/>
  <c r="L181" i="15"/>
  <c r="L179" i="15" s="1"/>
  <c r="O179" i="15" s="1"/>
  <c r="M181" i="15"/>
  <c r="M179" i="15" s="1"/>
  <c r="P179" i="15" s="1"/>
  <c r="N181" i="15"/>
  <c r="N179" i="15" s="1"/>
  <c r="I183" i="15"/>
  <c r="I172" i="15" s="1"/>
  <c r="K184" i="15"/>
  <c r="L187" i="15"/>
  <c r="O187" i="15" s="1"/>
  <c r="M187" i="15"/>
  <c r="P187" i="15" s="1"/>
  <c r="N187" i="15"/>
  <c r="O190" i="15"/>
  <c r="P190" i="15"/>
  <c r="L191" i="15"/>
  <c r="L189" i="15" s="1"/>
  <c r="M191" i="15"/>
  <c r="N191" i="15"/>
  <c r="N189" i="15" s="1"/>
  <c r="O193" i="15"/>
  <c r="P193" i="15"/>
  <c r="L194" i="15"/>
  <c r="L192" i="15" s="1"/>
  <c r="O192" i="15" s="1"/>
  <c r="M194" i="15"/>
  <c r="N194" i="15"/>
  <c r="N192" i="15" s="1"/>
  <c r="J195" i="15"/>
  <c r="L196" i="15"/>
  <c r="O196" i="15" s="1"/>
  <c r="P196" i="15"/>
  <c r="I198" i="15"/>
  <c r="I195" i="15" s="1"/>
  <c r="K195" i="15" s="1"/>
  <c r="J199" i="15"/>
  <c r="J202" i="15"/>
  <c r="N203" i="15"/>
  <c r="P203" i="15"/>
  <c r="L204" i="15"/>
  <c r="L205" i="15"/>
  <c r="L206" i="15"/>
  <c r="L207" i="15"/>
  <c r="I209" i="15"/>
  <c r="I202" i="15" s="1"/>
  <c r="K202" i="15" s="1"/>
  <c r="I211" i="15"/>
  <c r="K211" i="15" s="1"/>
  <c r="I212" i="15"/>
  <c r="K212" i="15" s="1"/>
  <c r="J213" i="15"/>
  <c r="N214" i="15"/>
  <c r="P214" i="15"/>
  <c r="L215" i="15"/>
  <c r="L216" i="15"/>
  <c r="L217" i="15"/>
  <c r="I219" i="15"/>
  <c r="K219" i="15" s="1"/>
  <c r="I220" i="15"/>
  <c r="I213" i="15" s="1"/>
  <c r="K213" i="15" s="1"/>
  <c r="J221" i="15"/>
  <c r="N222" i="15"/>
  <c r="P222" i="15"/>
  <c r="L223" i="15"/>
  <c r="L224" i="15"/>
  <c r="L225" i="15"/>
  <c r="I228" i="15"/>
  <c r="K228" i="15" s="1"/>
  <c r="I229" i="15"/>
  <c r="K229" i="15" s="1"/>
  <c r="I230" i="15"/>
  <c r="K230" i="15" s="1"/>
  <c r="N233" i="15"/>
  <c r="N234" i="15"/>
  <c r="N235" i="15"/>
  <c r="N236" i="15"/>
  <c r="J238" i="15"/>
  <c r="J240" i="15"/>
  <c r="J241" i="15"/>
  <c r="J242" i="15"/>
  <c r="N243" i="15"/>
  <c r="P243" i="15"/>
  <c r="L244" i="15"/>
  <c r="L245" i="15"/>
  <c r="L246" i="15"/>
  <c r="L247" i="15"/>
  <c r="I249" i="15"/>
  <c r="I251" i="15"/>
  <c r="I240" i="15" s="1"/>
  <c r="I252" i="15"/>
  <c r="K252" i="15" s="1"/>
  <c r="J253" i="15"/>
  <c r="N254" i="15"/>
  <c r="P254" i="15"/>
  <c r="L255" i="15"/>
  <c r="L256" i="15"/>
  <c r="L257" i="15"/>
  <c r="L258" i="15"/>
  <c r="I260" i="15"/>
  <c r="K260" i="15" s="1"/>
  <c r="K262" i="15"/>
  <c r="K263" i="15"/>
  <c r="I265" i="15"/>
  <c r="K265" i="15" s="1"/>
  <c r="J265" i="15"/>
  <c r="L267" i="15"/>
  <c r="M267" i="15"/>
  <c r="P267" i="15" s="1"/>
  <c r="N267" i="15"/>
  <c r="O270" i="15"/>
  <c r="P270" i="15"/>
  <c r="L271" i="15"/>
  <c r="O271" i="15" s="1"/>
  <c r="M271" i="15"/>
  <c r="M269" i="15" s="1"/>
  <c r="P269" i="15" s="1"/>
  <c r="N271" i="15"/>
  <c r="O273" i="15"/>
  <c r="P273" i="15"/>
  <c r="L274" i="15"/>
  <c r="O274" i="15" s="1"/>
  <c r="M274" i="15"/>
  <c r="M272" i="15" s="1"/>
  <c r="P272" i="15" s="1"/>
  <c r="N274" i="15"/>
  <c r="N272" i="15" s="1"/>
  <c r="J281" i="15"/>
  <c r="L283" i="15"/>
  <c r="O283" i="15" s="1"/>
  <c r="M283" i="15"/>
  <c r="N283" i="15"/>
  <c r="P283" i="15"/>
  <c r="O286" i="15"/>
  <c r="P286" i="15"/>
  <c r="L287" i="15"/>
  <c r="L285" i="15" s="1"/>
  <c r="M287" i="15"/>
  <c r="M285" i="15" s="1"/>
  <c r="N287" i="15"/>
  <c r="N285" i="15" s="1"/>
  <c r="O289" i="15"/>
  <c r="P289" i="15"/>
  <c r="L290" i="15"/>
  <c r="L288" i="15" s="1"/>
  <c r="O288" i="15" s="1"/>
  <c r="M290" i="15"/>
  <c r="M288" i="15" s="1"/>
  <c r="P288" i="15" s="1"/>
  <c r="N290" i="15"/>
  <c r="N288" i="15" s="1"/>
  <c r="I292" i="15"/>
  <c r="K292" i="15" s="1"/>
  <c r="I293" i="15"/>
  <c r="K293" i="15" s="1"/>
  <c r="J293" i="15"/>
  <c r="J280" i="15" s="1"/>
  <c r="I295" i="15"/>
  <c r="K295" i="15" s="1"/>
  <c r="I296" i="15"/>
  <c r="K296" i="15" s="1"/>
  <c r="J302" i="15"/>
  <c r="L304" i="15"/>
  <c r="O304" i="15" s="1"/>
  <c r="M304" i="15"/>
  <c r="P304" i="15" s="1"/>
  <c r="N304" i="15"/>
  <c r="O307" i="15"/>
  <c r="P307" i="15"/>
  <c r="L308" i="15"/>
  <c r="O308" i="15" s="1"/>
  <c r="M308" i="15"/>
  <c r="N308" i="15"/>
  <c r="O310" i="15"/>
  <c r="P310" i="15"/>
  <c r="L311" i="15"/>
  <c r="O311" i="15" s="1"/>
  <c r="M311" i="15"/>
  <c r="M309" i="15" s="1"/>
  <c r="P309" i="15" s="1"/>
  <c r="N311" i="15"/>
  <c r="N309" i="15" s="1"/>
  <c r="I314" i="15"/>
  <c r="K314" i="15" s="1"/>
  <c r="I315" i="15"/>
  <c r="K315" i="15" s="1"/>
  <c r="I316" i="15"/>
  <c r="K316" i="15" s="1"/>
  <c r="I317" i="15"/>
  <c r="K317" i="15" s="1"/>
  <c r="J319" i="15"/>
  <c r="L321" i="15"/>
  <c r="O321" i="15" s="1"/>
  <c r="M321" i="15"/>
  <c r="N321" i="15"/>
  <c r="P321" i="15"/>
  <c r="O324" i="15"/>
  <c r="P324" i="15"/>
  <c r="L325" i="15"/>
  <c r="M325" i="15"/>
  <c r="M323" i="15" s="1"/>
  <c r="P323" i="15" s="1"/>
  <c r="N325" i="15"/>
  <c r="N323" i="15" s="1"/>
  <c r="O327" i="15"/>
  <c r="P327" i="15"/>
  <c r="L328" i="15"/>
  <c r="O328" i="15" s="1"/>
  <c r="M328" i="15"/>
  <c r="M326" i="15" s="1"/>
  <c r="P326" i="15" s="1"/>
  <c r="N328" i="15"/>
  <c r="N326" i="15" s="1"/>
  <c r="I330" i="15"/>
  <c r="I319" i="15" s="1"/>
  <c r="K319" i="15" s="1"/>
  <c r="L334" i="15"/>
  <c r="M334" i="15"/>
  <c r="P334" i="15" s="1"/>
  <c r="N334" i="15"/>
  <c r="O337" i="15"/>
  <c r="P337" i="15"/>
  <c r="L338" i="15"/>
  <c r="L336" i="15" s="1"/>
  <c r="M338" i="15"/>
  <c r="M336" i="15" s="1"/>
  <c r="N338" i="15"/>
  <c r="O340" i="15"/>
  <c r="P340" i="15"/>
  <c r="L341" i="15"/>
  <c r="L339" i="15" s="1"/>
  <c r="O339" i="15" s="1"/>
  <c r="M341" i="15"/>
  <c r="M339" i="15" s="1"/>
  <c r="P339" i="15" s="1"/>
  <c r="N341" i="15"/>
  <c r="N339" i="15" s="1"/>
  <c r="I344" i="15"/>
  <c r="I332" i="15" s="1"/>
  <c r="J344" i="15"/>
  <c r="I346" i="15"/>
  <c r="J346" i="15"/>
  <c r="J347" i="15"/>
  <c r="J348" i="15"/>
  <c r="J349" i="15"/>
  <c r="D350" i="15"/>
  <c r="J352" i="15"/>
  <c r="J353" i="15"/>
  <c r="D354" i="15"/>
  <c r="L357" i="15"/>
  <c r="M357" i="15"/>
  <c r="P357" i="15" s="1"/>
  <c r="N357" i="15"/>
  <c r="O357" i="15"/>
  <c r="O360" i="15"/>
  <c r="P360" i="15"/>
  <c r="L361" i="15"/>
  <c r="M361" i="15"/>
  <c r="M359" i="15" s="1"/>
  <c r="N361" i="15"/>
  <c r="O363" i="15"/>
  <c r="P363" i="15"/>
  <c r="L364" i="15"/>
  <c r="L362" i="15" s="1"/>
  <c r="O362" i="15" s="1"/>
  <c r="M364" i="15"/>
  <c r="M362" i="15" s="1"/>
  <c r="P362" i="15" s="1"/>
  <c r="N364" i="15"/>
  <c r="N362" i="15" s="1"/>
  <c r="J367" i="15"/>
  <c r="K367" i="15"/>
  <c r="I368" i="15"/>
  <c r="J368" i="15"/>
  <c r="I369" i="15"/>
  <c r="J369" i="15"/>
  <c r="J370" i="15"/>
  <c r="K370" i="15"/>
  <c r="I371" i="15"/>
  <c r="I365" i="15" s="1"/>
  <c r="J371" i="15"/>
  <c r="J365" i="15" s="1"/>
  <c r="J372" i="15"/>
  <c r="K372" i="15"/>
  <c r="D373" i="15"/>
  <c r="I376" i="15"/>
  <c r="J376" i="15"/>
  <c r="K376" i="15"/>
  <c r="L378" i="15"/>
  <c r="O378" i="15" s="1"/>
  <c r="M378" i="15"/>
  <c r="N378" i="15"/>
  <c r="O381" i="15"/>
  <c r="P381" i="15"/>
  <c r="L382" i="15"/>
  <c r="O382" i="15" s="1"/>
  <c r="M382" i="15"/>
  <c r="P382" i="15" s="1"/>
  <c r="N382" i="15"/>
  <c r="N380" i="15" s="1"/>
  <c r="O384" i="15"/>
  <c r="P384" i="15"/>
  <c r="L385" i="15"/>
  <c r="L383" i="15" s="1"/>
  <c r="O383" i="15" s="1"/>
  <c r="M385" i="15"/>
  <c r="P385" i="15" s="1"/>
  <c r="N385" i="15"/>
  <c r="N383" i="15" s="1"/>
  <c r="K387" i="15"/>
  <c r="K388" i="15"/>
  <c r="A391" i="15"/>
  <c r="A3" i="14"/>
  <c r="L22" i="14"/>
  <c r="M22" i="14"/>
  <c r="M19" i="14" s="1"/>
  <c r="N22" i="14"/>
  <c r="O22" i="14"/>
  <c r="L25" i="14"/>
  <c r="L19" i="14" s="1"/>
  <c r="M25" i="14"/>
  <c r="N25" i="14"/>
  <c r="P25" i="14"/>
  <c r="L45" i="14"/>
  <c r="M45" i="14"/>
  <c r="P45" i="14" s="1"/>
  <c r="N45" i="14"/>
  <c r="O45" i="14"/>
  <c r="O48" i="14"/>
  <c r="P48" i="14"/>
  <c r="L49" i="14"/>
  <c r="L47" i="14" s="1"/>
  <c r="M49" i="14"/>
  <c r="M47" i="14" s="1"/>
  <c r="N49" i="14"/>
  <c r="N47" i="14" s="1"/>
  <c r="O51" i="14"/>
  <c r="P51" i="14"/>
  <c r="L52" i="14"/>
  <c r="O52" i="14" s="1"/>
  <c r="M52" i="14"/>
  <c r="M50" i="14" s="1"/>
  <c r="P50" i="14" s="1"/>
  <c r="N52" i="14"/>
  <c r="N50" i="14" s="1"/>
  <c r="L60" i="14"/>
  <c r="M60" i="14"/>
  <c r="N60" i="14"/>
  <c r="O63" i="14"/>
  <c r="P63" i="14"/>
  <c r="L64" i="14"/>
  <c r="M64" i="14"/>
  <c r="N64" i="14"/>
  <c r="N62" i="14" s="1"/>
  <c r="O66" i="14"/>
  <c r="P66" i="14"/>
  <c r="L67" i="14"/>
  <c r="L65" i="14" s="1"/>
  <c r="O65" i="14" s="1"/>
  <c r="M67" i="14"/>
  <c r="N67" i="14"/>
  <c r="N65" i="14" s="1"/>
  <c r="L73" i="14"/>
  <c r="M73" i="14"/>
  <c r="N73" i="14"/>
  <c r="O73" i="14"/>
  <c r="P73" i="14"/>
  <c r="O76" i="14"/>
  <c r="P76" i="14"/>
  <c r="L77" i="14"/>
  <c r="M77" i="14"/>
  <c r="M75" i="14" s="1"/>
  <c r="P75" i="14" s="1"/>
  <c r="N77" i="14"/>
  <c r="N75" i="14" s="1"/>
  <c r="O79" i="14"/>
  <c r="P79" i="14"/>
  <c r="L80" i="14"/>
  <c r="O80" i="14" s="1"/>
  <c r="M80" i="14"/>
  <c r="M78" i="14" s="1"/>
  <c r="P78" i="14" s="1"/>
  <c r="N80" i="14"/>
  <c r="N78" i="14" s="1"/>
  <c r="J82" i="14"/>
  <c r="J70" i="14" s="1"/>
  <c r="J83" i="14"/>
  <c r="J71" i="14" s="1"/>
  <c r="I84" i="14"/>
  <c r="I85" i="14"/>
  <c r="I86" i="14"/>
  <c r="K86" i="14" s="1"/>
  <c r="I87" i="14"/>
  <c r="K87" i="14" s="1"/>
  <c r="I88" i="14"/>
  <c r="K88" i="14" s="1"/>
  <c r="I89" i="14"/>
  <c r="K89" i="14" s="1"/>
  <c r="I90" i="14"/>
  <c r="K90" i="14" s="1"/>
  <c r="J92" i="14"/>
  <c r="J93" i="14"/>
  <c r="L95" i="14"/>
  <c r="O95" i="14" s="1"/>
  <c r="M95" i="14"/>
  <c r="N95" i="14"/>
  <c r="P95" i="14"/>
  <c r="O98" i="14"/>
  <c r="P98" i="14"/>
  <c r="L99" i="14"/>
  <c r="L97" i="14" s="1"/>
  <c r="O97" i="14" s="1"/>
  <c r="M99" i="14"/>
  <c r="N99" i="14"/>
  <c r="N97" i="14" s="1"/>
  <c r="O101" i="14"/>
  <c r="P101" i="14"/>
  <c r="L102" i="14"/>
  <c r="O102" i="14" s="1"/>
  <c r="M102" i="14"/>
  <c r="P102" i="14" s="1"/>
  <c r="N102" i="14"/>
  <c r="N100" i="14" s="1"/>
  <c r="I108" i="14"/>
  <c r="I92" i="14" s="1"/>
  <c r="K92" i="14" s="1"/>
  <c r="I109" i="14"/>
  <c r="I93" i="14" s="1"/>
  <c r="K93" i="14" s="1"/>
  <c r="I117" i="14"/>
  <c r="K117" i="14" s="1"/>
  <c r="L126" i="14"/>
  <c r="M126" i="14"/>
  <c r="P126" i="14" s="1"/>
  <c r="N126" i="14"/>
  <c r="O126" i="14"/>
  <c r="O129" i="14"/>
  <c r="P129" i="14"/>
  <c r="L130" i="14"/>
  <c r="M130" i="14"/>
  <c r="P130" i="14" s="1"/>
  <c r="N130" i="14"/>
  <c r="N128" i="14" s="1"/>
  <c r="O132" i="14"/>
  <c r="P132" i="14"/>
  <c r="L133" i="14"/>
  <c r="O133" i="14" s="1"/>
  <c r="M133" i="14"/>
  <c r="M131" i="14" s="1"/>
  <c r="P131" i="14" s="1"/>
  <c r="N133" i="14"/>
  <c r="N131" i="14" s="1"/>
  <c r="J136" i="14"/>
  <c r="J137" i="14"/>
  <c r="J138" i="14"/>
  <c r="L140" i="14"/>
  <c r="O140" i="14" s="1"/>
  <c r="M140" i="14"/>
  <c r="P140" i="14" s="1"/>
  <c r="N140" i="14"/>
  <c r="O143" i="14"/>
  <c r="P143" i="14"/>
  <c r="L144" i="14"/>
  <c r="M144" i="14"/>
  <c r="M142" i="14" s="1"/>
  <c r="N144" i="14"/>
  <c r="O146" i="14"/>
  <c r="P146" i="14"/>
  <c r="L147" i="14"/>
  <c r="L145" i="14" s="1"/>
  <c r="O145" i="14" s="1"/>
  <c r="M147" i="14"/>
  <c r="P147" i="14" s="1"/>
  <c r="N147" i="14"/>
  <c r="N145" i="14" s="1"/>
  <c r="I150" i="14"/>
  <c r="K150" i="14" s="1"/>
  <c r="I151" i="14"/>
  <c r="K151" i="14" s="1"/>
  <c r="I152" i="14"/>
  <c r="K152" i="14" s="1"/>
  <c r="I153" i="14"/>
  <c r="I154" i="14"/>
  <c r="I136" i="14" s="1"/>
  <c r="K136" i="14" s="1"/>
  <c r="J156" i="14"/>
  <c r="L158" i="14"/>
  <c r="O158" i="14" s="1"/>
  <c r="M158" i="14"/>
  <c r="N158" i="14"/>
  <c r="P158" i="14"/>
  <c r="O161" i="14"/>
  <c r="P161" i="14"/>
  <c r="L162" i="14"/>
  <c r="L160" i="14" s="1"/>
  <c r="O160" i="14" s="1"/>
  <c r="M162" i="14"/>
  <c r="M160" i="14" s="1"/>
  <c r="P160" i="14" s="1"/>
  <c r="N162" i="14"/>
  <c r="O164" i="14"/>
  <c r="P164" i="14"/>
  <c r="L165" i="14"/>
  <c r="L163" i="14" s="1"/>
  <c r="O163" i="14" s="1"/>
  <c r="M165" i="14"/>
  <c r="M163" i="14" s="1"/>
  <c r="P163" i="14" s="1"/>
  <c r="N165" i="14"/>
  <c r="N163" i="14" s="1"/>
  <c r="I167" i="14"/>
  <c r="K167" i="14" s="1"/>
  <c r="I168" i="14"/>
  <c r="K168" i="14" s="1"/>
  <c r="I169" i="14"/>
  <c r="K169" i="14" s="1"/>
  <c r="J172" i="14"/>
  <c r="L174" i="14"/>
  <c r="M174" i="14"/>
  <c r="P174" i="14" s="1"/>
  <c r="N174" i="14"/>
  <c r="O174" i="14"/>
  <c r="O177" i="14"/>
  <c r="P177" i="14"/>
  <c r="L178" i="14"/>
  <c r="L176" i="14" s="1"/>
  <c r="M178" i="14"/>
  <c r="M176" i="14" s="1"/>
  <c r="N178" i="14"/>
  <c r="N176" i="14" s="1"/>
  <c r="O180" i="14"/>
  <c r="P180" i="14"/>
  <c r="L181" i="14"/>
  <c r="O181" i="14" s="1"/>
  <c r="M181" i="14"/>
  <c r="M179" i="14" s="1"/>
  <c r="P179" i="14" s="1"/>
  <c r="N181" i="14"/>
  <c r="N179" i="14" s="1"/>
  <c r="I183" i="14"/>
  <c r="K183" i="14" s="1"/>
  <c r="K184" i="14"/>
  <c r="L187" i="14"/>
  <c r="M187" i="14"/>
  <c r="P187" i="14" s="1"/>
  <c r="N187" i="14"/>
  <c r="O190" i="14"/>
  <c r="P190" i="14"/>
  <c r="L191" i="14"/>
  <c r="L189" i="14" s="1"/>
  <c r="M191" i="14"/>
  <c r="M189" i="14" s="1"/>
  <c r="N191" i="14"/>
  <c r="N189" i="14" s="1"/>
  <c r="O193" i="14"/>
  <c r="P193" i="14"/>
  <c r="L194" i="14"/>
  <c r="O194" i="14" s="1"/>
  <c r="M194" i="14"/>
  <c r="M192" i="14" s="1"/>
  <c r="P192" i="14" s="1"/>
  <c r="N194" i="14"/>
  <c r="J195" i="14"/>
  <c r="L196" i="14"/>
  <c r="O196" i="14" s="1"/>
  <c r="P196" i="14"/>
  <c r="I198" i="14"/>
  <c r="K198" i="14" s="1"/>
  <c r="J199" i="14"/>
  <c r="J202" i="14"/>
  <c r="N203" i="14"/>
  <c r="P203" i="14"/>
  <c r="L204" i="14"/>
  <c r="L205" i="14"/>
  <c r="L206" i="14"/>
  <c r="L207" i="14"/>
  <c r="I209" i="14"/>
  <c r="K209" i="14" s="1"/>
  <c r="I211" i="14"/>
  <c r="K211" i="14" s="1"/>
  <c r="I212" i="14"/>
  <c r="K212" i="14" s="1"/>
  <c r="J213" i="14"/>
  <c r="N214" i="14"/>
  <c r="P214" i="14"/>
  <c r="L215" i="14"/>
  <c r="L216" i="14"/>
  <c r="L217" i="14"/>
  <c r="I219" i="14"/>
  <c r="K219" i="14" s="1"/>
  <c r="I220" i="14"/>
  <c r="K220" i="14" s="1"/>
  <c r="J221" i="14"/>
  <c r="N222" i="14"/>
  <c r="P222" i="14"/>
  <c r="L223" i="14"/>
  <c r="L224" i="14"/>
  <c r="L225" i="14"/>
  <c r="I228" i="14"/>
  <c r="K228" i="14" s="1"/>
  <c r="I229" i="14"/>
  <c r="I221" i="14" s="1"/>
  <c r="I230" i="14"/>
  <c r="K230" i="14" s="1"/>
  <c r="J231" i="14"/>
  <c r="J185" i="14" s="1"/>
  <c r="N233" i="14"/>
  <c r="N234" i="14"/>
  <c r="N235" i="14"/>
  <c r="N236" i="14"/>
  <c r="J238" i="14"/>
  <c r="I240" i="14"/>
  <c r="K240" i="14" s="1"/>
  <c r="J240" i="14"/>
  <c r="I241" i="14"/>
  <c r="K241" i="14" s="1"/>
  <c r="J241" i="14"/>
  <c r="J242" i="14"/>
  <c r="N243" i="14"/>
  <c r="N232" i="14" s="1"/>
  <c r="P243" i="14"/>
  <c r="L244" i="14"/>
  <c r="L245" i="14"/>
  <c r="L246" i="14"/>
  <c r="L247" i="14"/>
  <c r="I249" i="14"/>
  <c r="K249" i="14" s="1"/>
  <c r="K251" i="14"/>
  <c r="K252" i="14"/>
  <c r="J253" i="14"/>
  <c r="N254" i="14"/>
  <c r="P254" i="14"/>
  <c r="L255" i="14"/>
  <c r="L256" i="14"/>
  <c r="L257" i="14"/>
  <c r="L258" i="14"/>
  <c r="I260" i="14"/>
  <c r="I253" i="14" s="1"/>
  <c r="K253" i="14" s="1"/>
  <c r="K262" i="14"/>
  <c r="K263" i="14"/>
  <c r="I265" i="14"/>
  <c r="K265" i="14" s="1"/>
  <c r="J265" i="14"/>
  <c r="L267" i="14"/>
  <c r="M267" i="14"/>
  <c r="P267" i="14" s="1"/>
  <c r="N267" i="14"/>
  <c r="O270" i="14"/>
  <c r="P270" i="14"/>
  <c r="L271" i="14"/>
  <c r="O271" i="14" s="1"/>
  <c r="M271" i="14"/>
  <c r="M269" i="14" s="1"/>
  <c r="P269" i="14" s="1"/>
  <c r="N271" i="14"/>
  <c r="N269" i="14" s="1"/>
  <c r="O273" i="14"/>
  <c r="P273" i="14"/>
  <c r="L274" i="14"/>
  <c r="L272" i="14" s="1"/>
  <c r="O272" i="14" s="1"/>
  <c r="M274" i="14"/>
  <c r="M272" i="14" s="1"/>
  <c r="P272" i="14" s="1"/>
  <c r="N274" i="14"/>
  <c r="J281" i="14"/>
  <c r="L283" i="14"/>
  <c r="M283" i="14"/>
  <c r="N283" i="14"/>
  <c r="P283" i="14"/>
  <c r="O286" i="14"/>
  <c r="P286" i="14"/>
  <c r="L287" i="14"/>
  <c r="L285" i="14" s="1"/>
  <c r="M287" i="14"/>
  <c r="M285" i="14" s="1"/>
  <c r="N287" i="14"/>
  <c r="O289" i="14"/>
  <c r="P289" i="14"/>
  <c r="L290" i="14"/>
  <c r="L288" i="14" s="1"/>
  <c r="O288" i="14" s="1"/>
  <c r="M290" i="14"/>
  <c r="M288" i="14" s="1"/>
  <c r="P288" i="14" s="1"/>
  <c r="N290" i="14"/>
  <c r="I292" i="14"/>
  <c r="K292" i="14" s="1"/>
  <c r="I293" i="14"/>
  <c r="J293" i="14"/>
  <c r="J280" i="14" s="1"/>
  <c r="I295" i="14"/>
  <c r="K295" i="14" s="1"/>
  <c r="I296" i="14"/>
  <c r="K296" i="14" s="1"/>
  <c r="J302" i="14"/>
  <c r="L304" i="14"/>
  <c r="M304" i="14"/>
  <c r="P304" i="14" s="1"/>
  <c r="N304" i="14"/>
  <c r="O307" i="14"/>
  <c r="P307" i="14"/>
  <c r="L308" i="14"/>
  <c r="L306" i="14" s="1"/>
  <c r="O306" i="14" s="1"/>
  <c r="M308" i="14"/>
  <c r="M306" i="14" s="1"/>
  <c r="P306" i="14" s="1"/>
  <c r="N308" i="14"/>
  <c r="N306" i="14" s="1"/>
  <c r="O310" i="14"/>
  <c r="P310" i="14"/>
  <c r="L311" i="14"/>
  <c r="L309" i="14" s="1"/>
  <c r="O309" i="14" s="1"/>
  <c r="M311" i="14"/>
  <c r="M309" i="14" s="1"/>
  <c r="P309" i="14" s="1"/>
  <c r="N311" i="14"/>
  <c r="N309" i="14" s="1"/>
  <c r="I314" i="14"/>
  <c r="K314" i="14" s="1"/>
  <c r="I315" i="14"/>
  <c r="K315" i="14" s="1"/>
  <c r="I316" i="14"/>
  <c r="K316" i="14" s="1"/>
  <c r="I317" i="14"/>
  <c r="K317" i="14" s="1"/>
  <c r="J319" i="14"/>
  <c r="L321" i="14"/>
  <c r="O321" i="14" s="1"/>
  <c r="M321" i="14"/>
  <c r="N321" i="14"/>
  <c r="O324" i="14"/>
  <c r="P324" i="14"/>
  <c r="L325" i="14"/>
  <c r="L323" i="14" s="1"/>
  <c r="O323" i="14" s="1"/>
  <c r="M325" i="14"/>
  <c r="P325" i="14" s="1"/>
  <c r="N325" i="14"/>
  <c r="N323" i="14" s="1"/>
  <c r="O327" i="14"/>
  <c r="P327" i="14"/>
  <c r="L328" i="14"/>
  <c r="L326" i="14" s="1"/>
  <c r="O326" i="14" s="1"/>
  <c r="M328" i="14"/>
  <c r="M326" i="14" s="1"/>
  <c r="P326" i="14" s="1"/>
  <c r="N328" i="14"/>
  <c r="N326" i="14" s="1"/>
  <c r="I330" i="14"/>
  <c r="I319" i="14" s="1"/>
  <c r="K319" i="14" s="1"/>
  <c r="L334" i="14"/>
  <c r="O334" i="14" s="1"/>
  <c r="M334" i="14"/>
  <c r="P334" i="14" s="1"/>
  <c r="N334" i="14"/>
  <c r="O337" i="14"/>
  <c r="P337" i="14"/>
  <c r="L338" i="14"/>
  <c r="L336" i="14" s="1"/>
  <c r="M338" i="14"/>
  <c r="M336" i="14" s="1"/>
  <c r="N338" i="14"/>
  <c r="N336" i="14" s="1"/>
  <c r="O340" i="14"/>
  <c r="P340" i="14"/>
  <c r="L341" i="14"/>
  <c r="L339" i="14" s="1"/>
  <c r="O339" i="14" s="1"/>
  <c r="M341" i="14"/>
  <c r="M339" i="14" s="1"/>
  <c r="P339" i="14" s="1"/>
  <c r="N341" i="14"/>
  <c r="N339" i="14" s="1"/>
  <c r="I344" i="14"/>
  <c r="I332" i="14" s="1"/>
  <c r="J344" i="14"/>
  <c r="I346" i="14"/>
  <c r="J346" i="14"/>
  <c r="J347" i="14"/>
  <c r="J348" i="14"/>
  <c r="J349" i="14"/>
  <c r="D350" i="14"/>
  <c r="J352" i="14"/>
  <c r="J353" i="14"/>
  <c r="D354" i="14"/>
  <c r="L357" i="14"/>
  <c r="O357" i="14" s="1"/>
  <c r="M357" i="14"/>
  <c r="N357" i="14"/>
  <c r="O360" i="14"/>
  <c r="P360" i="14"/>
  <c r="L361" i="14"/>
  <c r="L359" i="14" s="1"/>
  <c r="M361" i="14"/>
  <c r="M359" i="14" s="1"/>
  <c r="N361" i="14"/>
  <c r="O363" i="14"/>
  <c r="P363" i="14"/>
  <c r="L364" i="14"/>
  <c r="L362" i="14" s="1"/>
  <c r="O362" i="14" s="1"/>
  <c r="M364" i="14"/>
  <c r="M362" i="14" s="1"/>
  <c r="P362" i="14" s="1"/>
  <c r="N364" i="14"/>
  <c r="N362" i="14" s="1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I376" i="14"/>
  <c r="J376" i="14"/>
  <c r="K376" i="14"/>
  <c r="L378" i="14"/>
  <c r="M378" i="14"/>
  <c r="P378" i="14" s="1"/>
  <c r="N378" i="14"/>
  <c r="O381" i="14"/>
  <c r="P381" i="14"/>
  <c r="L382" i="14"/>
  <c r="L380" i="14" s="1"/>
  <c r="O380" i="14" s="1"/>
  <c r="M382" i="14"/>
  <c r="N382" i="14"/>
  <c r="O384" i="14"/>
  <c r="P384" i="14"/>
  <c r="L385" i="14"/>
  <c r="O385" i="14" s="1"/>
  <c r="M385" i="14"/>
  <c r="P385" i="14" s="1"/>
  <c r="N385" i="14"/>
  <c r="N383" i="14" s="1"/>
  <c r="K387" i="14"/>
  <c r="K388" i="14"/>
  <c r="A391" i="14"/>
  <c r="A3" i="13"/>
  <c r="L22" i="13"/>
  <c r="O22" i="13" s="1"/>
  <c r="M22" i="13"/>
  <c r="N22" i="13"/>
  <c r="L25" i="13"/>
  <c r="M25" i="13"/>
  <c r="P25" i="13" s="1"/>
  <c r="N25" i="13"/>
  <c r="L45" i="13"/>
  <c r="O45" i="13" s="1"/>
  <c r="M45" i="13"/>
  <c r="P45" i="13" s="1"/>
  <c r="N45" i="13"/>
  <c r="O48" i="13"/>
  <c r="P48" i="13"/>
  <c r="L49" i="13"/>
  <c r="L47" i="13" s="1"/>
  <c r="M49" i="13"/>
  <c r="M47" i="13" s="1"/>
  <c r="N49" i="13"/>
  <c r="N47" i="13" s="1"/>
  <c r="O51" i="13"/>
  <c r="P51" i="13"/>
  <c r="L52" i="13"/>
  <c r="M52" i="13"/>
  <c r="P52" i="13" s="1"/>
  <c r="N52" i="13"/>
  <c r="N50" i="13" s="1"/>
  <c r="L60" i="13"/>
  <c r="M60" i="13"/>
  <c r="P60" i="13" s="1"/>
  <c r="N60" i="13"/>
  <c r="O63" i="13"/>
  <c r="P63" i="13"/>
  <c r="L64" i="13"/>
  <c r="M64" i="13"/>
  <c r="M62" i="13" s="1"/>
  <c r="N64" i="13"/>
  <c r="O66" i="13"/>
  <c r="P66" i="13"/>
  <c r="L67" i="13"/>
  <c r="M67" i="13"/>
  <c r="P67" i="13" s="1"/>
  <c r="N67" i="13"/>
  <c r="N65" i="13" s="1"/>
  <c r="L73" i="13"/>
  <c r="M73" i="13"/>
  <c r="N73" i="13"/>
  <c r="O73" i="13"/>
  <c r="P73" i="13"/>
  <c r="O76" i="13"/>
  <c r="P76" i="13"/>
  <c r="L77" i="13"/>
  <c r="L75" i="13" s="1"/>
  <c r="O75" i="13" s="1"/>
  <c r="M77" i="13"/>
  <c r="M75" i="13" s="1"/>
  <c r="P75" i="13" s="1"/>
  <c r="N77" i="13"/>
  <c r="O79" i="13"/>
  <c r="P79" i="13"/>
  <c r="L80" i="13"/>
  <c r="L78" i="13" s="1"/>
  <c r="O78" i="13" s="1"/>
  <c r="M80" i="13"/>
  <c r="M78" i="13" s="1"/>
  <c r="P78" i="13" s="1"/>
  <c r="N80" i="13"/>
  <c r="N78" i="13" s="1"/>
  <c r="J82" i="13"/>
  <c r="J70" i="13" s="1"/>
  <c r="J83" i="13"/>
  <c r="J71" i="13" s="1"/>
  <c r="I84" i="13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O95" i="13" s="1"/>
  <c r="M95" i="13"/>
  <c r="P95" i="13" s="1"/>
  <c r="N95" i="13"/>
  <c r="O98" i="13"/>
  <c r="P98" i="13"/>
  <c r="L99" i="13"/>
  <c r="L97" i="13" s="1"/>
  <c r="O97" i="13" s="1"/>
  <c r="M99" i="13"/>
  <c r="M97" i="13" s="1"/>
  <c r="P97" i="13" s="1"/>
  <c r="N99" i="13"/>
  <c r="N97" i="13" s="1"/>
  <c r="O101" i="13"/>
  <c r="P101" i="13"/>
  <c r="L102" i="13"/>
  <c r="O102" i="13" s="1"/>
  <c r="M102" i="13"/>
  <c r="M100" i="13" s="1"/>
  <c r="P100" i="13" s="1"/>
  <c r="N102" i="13"/>
  <c r="N100" i="13" s="1"/>
  <c r="I108" i="13"/>
  <c r="I109" i="13"/>
  <c r="I117" i="13"/>
  <c r="K117" i="13" s="1"/>
  <c r="L126" i="13"/>
  <c r="O126" i="13" s="1"/>
  <c r="M126" i="13"/>
  <c r="N126" i="13"/>
  <c r="O129" i="13"/>
  <c r="P129" i="13"/>
  <c r="L130" i="13"/>
  <c r="L128" i="13" s="1"/>
  <c r="O128" i="13" s="1"/>
  <c r="M130" i="13"/>
  <c r="N130" i="13"/>
  <c r="N128" i="13" s="1"/>
  <c r="O132" i="13"/>
  <c r="P132" i="13"/>
  <c r="L133" i="13"/>
  <c r="L131" i="13" s="1"/>
  <c r="O131" i="13" s="1"/>
  <c r="M133" i="13"/>
  <c r="N133" i="13"/>
  <c r="N131" i="13" s="1"/>
  <c r="J136" i="13"/>
  <c r="J137" i="13"/>
  <c r="J138" i="13"/>
  <c r="L140" i="13"/>
  <c r="O140" i="13" s="1"/>
  <c r="M140" i="13"/>
  <c r="N140" i="13"/>
  <c r="O143" i="13"/>
  <c r="P143" i="13"/>
  <c r="L144" i="13"/>
  <c r="L142" i="13" s="1"/>
  <c r="O142" i="13" s="1"/>
  <c r="M144" i="13"/>
  <c r="N144" i="13"/>
  <c r="O146" i="13"/>
  <c r="P146" i="13"/>
  <c r="L147" i="13"/>
  <c r="O147" i="13" s="1"/>
  <c r="M147" i="13"/>
  <c r="N147" i="13"/>
  <c r="N145" i="13" s="1"/>
  <c r="I150" i="13"/>
  <c r="K150" i="13" s="1"/>
  <c r="I151" i="13"/>
  <c r="K151" i="13" s="1"/>
  <c r="I152" i="13"/>
  <c r="K152" i="13" s="1"/>
  <c r="I153" i="13"/>
  <c r="I138" i="13" s="1"/>
  <c r="K138" i="13" s="1"/>
  <c r="I154" i="13"/>
  <c r="I136" i="13" s="1"/>
  <c r="K136" i="13" s="1"/>
  <c r="J156" i="13"/>
  <c r="L158" i="13"/>
  <c r="O158" i="13" s="1"/>
  <c r="M158" i="13"/>
  <c r="P158" i="13" s="1"/>
  <c r="N158" i="13"/>
  <c r="O161" i="13"/>
  <c r="P161" i="13"/>
  <c r="L162" i="13"/>
  <c r="L160" i="13" s="1"/>
  <c r="M162" i="13"/>
  <c r="M160" i="13" s="1"/>
  <c r="P160" i="13" s="1"/>
  <c r="N162" i="13"/>
  <c r="N160" i="13" s="1"/>
  <c r="O164" i="13"/>
  <c r="P164" i="13"/>
  <c r="L165" i="13"/>
  <c r="M165" i="13"/>
  <c r="M163" i="13" s="1"/>
  <c r="P163" i="13" s="1"/>
  <c r="N165" i="13"/>
  <c r="N163" i="13" s="1"/>
  <c r="I167" i="13"/>
  <c r="I156" i="13" s="1"/>
  <c r="J172" i="13"/>
  <c r="L174" i="13"/>
  <c r="O174" i="13" s="1"/>
  <c r="M174" i="13"/>
  <c r="P174" i="13" s="1"/>
  <c r="N174" i="13"/>
  <c r="O177" i="13"/>
  <c r="P177" i="13"/>
  <c r="L178" i="13"/>
  <c r="L176" i="13" s="1"/>
  <c r="M178" i="13"/>
  <c r="M176" i="13" s="1"/>
  <c r="N178" i="13"/>
  <c r="N176" i="13" s="1"/>
  <c r="O180" i="13"/>
  <c r="P180" i="13"/>
  <c r="L181" i="13"/>
  <c r="L179" i="13" s="1"/>
  <c r="O179" i="13" s="1"/>
  <c r="M181" i="13"/>
  <c r="M179" i="13" s="1"/>
  <c r="P179" i="13" s="1"/>
  <c r="N181" i="13"/>
  <c r="N179" i="13" s="1"/>
  <c r="I183" i="13"/>
  <c r="I172" i="13" s="1"/>
  <c r="K172" i="13" s="1"/>
  <c r="K184" i="13"/>
  <c r="L187" i="13"/>
  <c r="M187" i="13"/>
  <c r="P187" i="13" s="1"/>
  <c r="N187" i="13"/>
  <c r="O190" i="13"/>
  <c r="P190" i="13"/>
  <c r="L191" i="13"/>
  <c r="M191" i="13"/>
  <c r="N191" i="13"/>
  <c r="O193" i="13"/>
  <c r="P193" i="13"/>
  <c r="L194" i="13"/>
  <c r="M194" i="13"/>
  <c r="P194" i="13" s="1"/>
  <c r="N194" i="13"/>
  <c r="N192" i="13" s="1"/>
  <c r="J195" i="13"/>
  <c r="L196" i="13"/>
  <c r="O196" i="13" s="1"/>
  <c r="P196" i="13"/>
  <c r="I198" i="13"/>
  <c r="J199" i="13"/>
  <c r="J202" i="13"/>
  <c r="N203" i="13"/>
  <c r="P203" i="13"/>
  <c r="L204" i="13"/>
  <c r="L205" i="13"/>
  <c r="L206" i="13"/>
  <c r="L207" i="13"/>
  <c r="I209" i="13"/>
  <c r="I211" i="13"/>
  <c r="K211" i="13" s="1"/>
  <c r="I212" i="13"/>
  <c r="K212" i="13" s="1"/>
  <c r="J213" i="13"/>
  <c r="N214" i="13"/>
  <c r="P214" i="13"/>
  <c r="L215" i="13"/>
  <c r="L216" i="13"/>
  <c r="L217" i="13"/>
  <c r="I219" i="13"/>
  <c r="K219" i="13" s="1"/>
  <c r="I220" i="13"/>
  <c r="K220" i="13" s="1"/>
  <c r="J221" i="13"/>
  <c r="N222" i="13"/>
  <c r="P222" i="13"/>
  <c r="L223" i="13"/>
  <c r="L224" i="13"/>
  <c r="L225" i="13"/>
  <c r="I228" i="13"/>
  <c r="K228" i="13" s="1"/>
  <c r="I229" i="13"/>
  <c r="I221" i="13" s="1"/>
  <c r="I230" i="13"/>
  <c r="K230" i="13" s="1"/>
  <c r="N233" i="13"/>
  <c r="N234" i="13"/>
  <c r="N235" i="13"/>
  <c r="N236" i="13"/>
  <c r="J238" i="13"/>
  <c r="I240" i="13"/>
  <c r="K240" i="13" s="1"/>
  <c r="J240" i="13"/>
  <c r="I241" i="13"/>
  <c r="K241" i="13" s="1"/>
  <c r="J241" i="13"/>
  <c r="J242" i="13"/>
  <c r="N243" i="13"/>
  <c r="P243" i="13"/>
  <c r="L244" i="13"/>
  <c r="L245" i="13"/>
  <c r="L246" i="13"/>
  <c r="L247" i="13"/>
  <c r="I249" i="13"/>
  <c r="K249" i="13" s="1"/>
  <c r="K251" i="13"/>
  <c r="K252" i="13"/>
  <c r="J253" i="13"/>
  <c r="N254" i="13"/>
  <c r="P254" i="13"/>
  <c r="L255" i="13"/>
  <c r="L256" i="13"/>
  <c r="L257" i="13"/>
  <c r="L258" i="13"/>
  <c r="I260" i="13"/>
  <c r="K262" i="13"/>
  <c r="K263" i="13"/>
  <c r="I265" i="13"/>
  <c r="J265" i="13"/>
  <c r="K265" i="13"/>
  <c r="L267" i="13"/>
  <c r="M267" i="13"/>
  <c r="N267" i="13"/>
  <c r="P267" i="13"/>
  <c r="O270" i="13"/>
  <c r="P270" i="13"/>
  <c r="L271" i="13"/>
  <c r="M271" i="13"/>
  <c r="P271" i="13" s="1"/>
  <c r="N271" i="13"/>
  <c r="N269" i="13" s="1"/>
  <c r="O273" i="13"/>
  <c r="P273" i="13"/>
  <c r="L274" i="13"/>
  <c r="M274" i="13"/>
  <c r="P274" i="13" s="1"/>
  <c r="N274" i="13"/>
  <c r="N272" i="13" s="1"/>
  <c r="J281" i="13"/>
  <c r="L283" i="13"/>
  <c r="M283" i="13"/>
  <c r="P283" i="13" s="1"/>
  <c r="N283" i="13"/>
  <c r="O283" i="13"/>
  <c r="O286" i="13"/>
  <c r="P286" i="13"/>
  <c r="L287" i="13"/>
  <c r="L285" i="13" s="1"/>
  <c r="M287" i="13"/>
  <c r="M285" i="13" s="1"/>
  <c r="N287" i="13"/>
  <c r="N285" i="13" s="1"/>
  <c r="O289" i="13"/>
  <c r="P289" i="13"/>
  <c r="L290" i="13"/>
  <c r="L288" i="13" s="1"/>
  <c r="O288" i="13" s="1"/>
  <c r="M290" i="13"/>
  <c r="M288" i="13" s="1"/>
  <c r="P288" i="13" s="1"/>
  <c r="N290" i="13"/>
  <c r="N288" i="13" s="1"/>
  <c r="I292" i="13"/>
  <c r="I281" i="13" s="1"/>
  <c r="K281" i="13" s="1"/>
  <c r="I293" i="13"/>
  <c r="I280" i="13" s="1"/>
  <c r="J293" i="13"/>
  <c r="J280" i="13" s="1"/>
  <c r="I295" i="13"/>
  <c r="K295" i="13" s="1"/>
  <c r="I296" i="13"/>
  <c r="K296" i="13" s="1"/>
  <c r="J302" i="13"/>
  <c r="L304" i="13"/>
  <c r="M304" i="13"/>
  <c r="P304" i="13" s="1"/>
  <c r="N304" i="13"/>
  <c r="O307" i="13"/>
  <c r="P307" i="13"/>
  <c r="L308" i="13"/>
  <c r="M308" i="13"/>
  <c r="P308" i="13" s="1"/>
  <c r="N308" i="13"/>
  <c r="N306" i="13" s="1"/>
  <c r="O310" i="13"/>
  <c r="P310" i="13"/>
  <c r="L311" i="13"/>
  <c r="M311" i="13"/>
  <c r="P311" i="13" s="1"/>
  <c r="N311" i="13"/>
  <c r="N309" i="13" s="1"/>
  <c r="I314" i="13"/>
  <c r="I302" i="13" s="1"/>
  <c r="K302" i="13" s="1"/>
  <c r="I315" i="13"/>
  <c r="K315" i="13" s="1"/>
  <c r="I316" i="13"/>
  <c r="K316" i="13" s="1"/>
  <c r="I317" i="13"/>
  <c r="K317" i="13" s="1"/>
  <c r="J319" i="13"/>
  <c r="L321" i="13"/>
  <c r="M321" i="13"/>
  <c r="N321" i="13"/>
  <c r="O321" i="13"/>
  <c r="P321" i="13"/>
  <c r="O324" i="13"/>
  <c r="P324" i="13"/>
  <c r="L325" i="13"/>
  <c r="L323" i="13" s="1"/>
  <c r="O323" i="13" s="1"/>
  <c r="M325" i="13"/>
  <c r="M323" i="13" s="1"/>
  <c r="P323" i="13" s="1"/>
  <c r="N325" i="13"/>
  <c r="N323" i="13" s="1"/>
  <c r="O327" i="13"/>
  <c r="P327" i="13"/>
  <c r="L328" i="13"/>
  <c r="L326" i="13" s="1"/>
  <c r="O326" i="13" s="1"/>
  <c r="M328" i="13"/>
  <c r="M326" i="13" s="1"/>
  <c r="P326" i="13" s="1"/>
  <c r="N328" i="13"/>
  <c r="N326" i="13" s="1"/>
  <c r="I330" i="13"/>
  <c r="K330" i="13" s="1"/>
  <c r="L334" i="13"/>
  <c r="O334" i="13" s="1"/>
  <c r="M334" i="13"/>
  <c r="P334" i="13" s="1"/>
  <c r="N334" i="13"/>
  <c r="O337" i="13"/>
  <c r="P337" i="13"/>
  <c r="L338" i="13"/>
  <c r="M338" i="13"/>
  <c r="N338" i="13"/>
  <c r="N336" i="13" s="1"/>
  <c r="O340" i="13"/>
  <c r="P340" i="13"/>
  <c r="L341" i="13"/>
  <c r="O341" i="13" s="1"/>
  <c r="M341" i="13"/>
  <c r="M339" i="13" s="1"/>
  <c r="P339" i="13" s="1"/>
  <c r="N341" i="13"/>
  <c r="N339" i="13" s="1"/>
  <c r="I344" i="13"/>
  <c r="I332" i="13" s="1"/>
  <c r="J344" i="13"/>
  <c r="I346" i="13"/>
  <c r="J346" i="13"/>
  <c r="J347" i="13"/>
  <c r="J348" i="13"/>
  <c r="J349" i="13"/>
  <c r="D350" i="13"/>
  <c r="J352" i="13"/>
  <c r="J353" i="13"/>
  <c r="D354" i="13"/>
  <c r="L357" i="13"/>
  <c r="M357" i="13"/>
  <c r="P357" i="13" s="1"/>
  <c r="N357" i="13"/>
  <c r="O360" i="13"/>
  <c r="P360" i="13"/>
  <c r="L361" i="13"/>
  <c r="L359" i="13" s="1"/>
  <c r="M361" i="13"/>
  <c r="M359" i="13" s="1"/>
  <c r="N361" i="13"/>
  <c r="O363" i="13"/>
  <c r="P363" i="13"/>
  <c r="L364" i="13"/>
  <c r="O364" i="13" s="1"/>
  <c r="M364" i="13"/>
  <c r="M362" i="13" s="1"/>
  <c r="P362" i="13" s="1"/>
  <c r="N364" i="13"/>
  <c r="N362" i="13" s="1"/>
  <c r="J367" i="13"/>
  <c r="K367" i="13"/>
  <c r="I368" i="13"/>
  <c r="J368" i="13"/>
  <c r="I369" i="13"/>
  <c r="J369" i="13"/>
  <c r="J370" i="13"/>
  <c r="K370" i="13"/>
  <c r="I371" i="13"/>
  <c r="J371" i="13"/>
  <c r="J365" i="13" s="1"/>
  <c r="J372" i="13"/>
  <c r="K372" i="13"/>
  <c r="D373" i="13"/>
  <c r="I376" i="13"/>
  <c r="K376" i="13" s="1"/>
  <c r="J376" i="13"/>
  <c r="L378" i="13"/>
  <c r="M378" i="13"/>
  <c r="N378" i="13"/>
  <c r="O378" i="13"/>
  <c r="P378" i="13"/>
  <c r="O381" i="13"/>
  <c r="P381" i="13"/>
  <c r="L382" i="13"/>
  <c r="L380" i="13" s="1"/>
  <c r="O380" i="13" s="1"/>
  <c r="M382" i="13"/>
  <c r="N382" i="13"/>
  <c r="N380" i="13" s="1"/>
  <c r="O384" i="13"/>
  <c r="P384" i="13"/>
  <c r="L385" i="13"/>
  <c r="L383" i="13" s="1"/>
  <c r="O383" i="13" s="1"/>
  <c r="M385" i="13"/>
  <c r="M383" i="13" s="1"/>
  <c r="P383" i="13" s="1"/>
  <c r="N385" i="13"/>
  <c r="N383" i="13" s="1"/>
  <c r="K387" i="13"/>
  <c r="K388" i="13"/>
  <c r="A391" i="13"/>
  <c r="A3" i="12"/>
  <c r="L22" i="12"/>
  <c r="M22" i="12"/>
  <c r="N22" i="12"/>
  <c r="P22" i="12"/>
  <c r="L25" i="12"/>
  <c r="O25" i="12" s="1"/>
  <c r="M25" i="12"/>
  <c r="N25" i="12"/>
  <c r="L45" i="12"/>
  <c r="M45" i="12"/>
  <c r="P45" i="12" s="1"/>
  <c r="N45" i="12"/>
  <c r="O45" i="12"/>
  <c r="O48" i="12"/>
  <c r="P48" i="12"/>
  <c r="L49" i="12"/>
  <c r="L47" i="12" s="1"/>
  <c r="M49" i="12"/>
  <c r="M47" i="12" s="1"/>
  <c r="N49" i="12"/>
  <c r="N47" i="12" s="1"/>
  <c r="O51" i="12"/>
  <c r="P51" i="12"/>
  <c r="L52" i="12"/>
  <c r="L50" i="12" s="1"/>
  <c r="O50" i="12" s="1"/>
  <c r="M52" i="12"/>
  <c r="M50" i="12" s="1"/>
  <c r="P50" i="12" s="1"/>
  <c r="N52" i="12"/>
  <c r="L60" i="12"/>
  <c r="M60" i="12"/>
  <c r="N60" i="12"/>
  <c r="P60" i="12"/>
  <c r="O63" i="12"/>
  <c r="P63" i="12"/>
  <c r="L64" i="12"/>
  <c r="M64" i="12"/>
  <c r="N64" i="12"/>
  <c r="N62" i="12" s="1"/>
  <c r="O66" i="12"/>
  <c r="P66" i="12"/>
  <c r="L67" i="12"/>
  <c r="L65" i="12" s="1"/>
  <c r="O65" i="12" s="1"/>
  <c r="M67" i="12"/>
  <c r="N67" i="12"/>
  <c r="N65" i="12" s="1"/>
  <c r="J71" i="12"/>
  <c r="L73" i="12"/>
  <c r="O73" i="12" s="1"/>
  <c r="M73" i="12"/>
  <c r="P73" i="12" s="1"/>
  <c r="N73" i="12"/>
  <c r="O76" i="12"/>
  <c r="P76" i="12"/>
  <c r="L77" i="12"/>
  <c r="L75" i="12" s="1"/>
  <c r="O75" i="12" s="1"/>
  <c r="M77" i="12"/>
  <c r="N77" i="12"/>
  <c r="N75" i="12" s="1"/>
  <c r="O79" i="12"/>
  <c r="P79" i="12"/>
  <c r="L80" i="12"/>
  <c r="L78" i="12" s="1"/>
  <c r="O78" i="12" s="1"/>
  <c r="M80" i="12"/>
  <c r="M78" i="12" s="1"/>
  <c r="P78" i="12" s="1"/>
  <c r="N80" i="12"/>
  <c r="N78" i="12" s="1"/>
  <c r="J82" i="12"/>
  <c r="J70" i="12" s="1"/>
  <c r="J83" i="12"/>
  <c r="I84" i="12"/>
  <c r="K84" i="12" s="1"/>
  <c r="I85" i="12"/>
  <c r="I86" i="12"/>
  <c r="K86" i="12" s="1"/>
  <c r="I87" i="12"/>
  <c r="K87" i="12" s="1"/>
  <c r="I88" i="12"/>
  <c r="K88" i="12" s="1"/>
  <c r="I89" i="12"/>
  <c r="K89" i="12" s="1"/>
  <c r="I90" i="12"/>
  <c r="K90" i="12" s="1"/>
  <c r="J92" i="12"/>
  <c r="J93" i="12"/>
  <c r="L95" i="12"/>
  <c r="M95" i="12"/>
  <c r="N95" i="12"/>
  <c r="P95" i="12"/>
  <c r="O98" i="12"/>
  <c r="P98" i="12"/>
  <c r="L99" i="12"/>
  <c r="M99" i="12"/>
  <c r="M97" i="12" s="1"/>
  <c r="P97" i="12" s="1"/>
  <c r="N99" i="12"/>
  <c r="N97" i="12" s="1"/>
  <c r="O101" i="12"/>
  <c r="P101" i="12"/>
  <c r="L102" i="12"/>
  <c r="L100" i="12" s="1"/>
  <c r="O100" i="12" s="1"/>
  <c r="M102" i="12"/>
  <c r="M100" i="12" s="1"/>
  <c r="P100" i="12" s="1"/>
  <c r="N102" i="12"/>
  <c r="N100" i="12" s="1"/>
  <c r="I108" i="12"/>
  <c r="I109" i="12"/>
  <c r="K109" i="12" s="1"/>
  <c r="I117" i="12"/>
  <c r="K117" i="12" s="1"/>
  <c r="L126" i="12"/>
  <c r="M126" i="12"/>
  <c r="N126" i="12"/>
  <c r="O126" i="12"/>
  <c r="O129" i="12"/>
  <c r="P129" i="12"/>
  <c r="L130" i="12"/>
  <c r="O130" i="12" s="1"/>
  <c r="M130" i="12"/>
  <c r="M128" i="12" s="1"/>
  <c r="P128" i="12" s="1"/>
  <c r="N130" i="12"/>
  <c r="N128" i="12" s="1"/>
  <c r="O132" i="12"/>
  <c r="P132" i="12"/>
  <c r="L133" i="12"/>
  <c r="O133" i="12" s="1"/>
  <c r="M133" i="12"/>
  <c r="M131" i="12" s="1"/>
  <c r="P131" i="12" s="1"/>
  <c r="N133" i="12"/>
  <c r="N131" i="12" s="1"/>
  <c r="J136" i="12"/>
  <c r="J137" i="12"/>
  <c r="J138" i="12"/>
  <c r="L140" i="12"/>
  <c r="O140" i="12" s="1"/>
  <c r="M140" i="12"/>
  <c r="N140" i="12"/>
  <c r="O143" i="12"/>
  <c r="P143" i="12"/>
  <c r="L144" i="12"/>
  <c r="M144" i="12"/>
  <c r="M142" i="12" s="1"/>
  <c r="N144" i="12"/>
  <c r="N142" i="12" s="1"/>
  <c r="O146" i="12"/>
  <c r="P146" i="12"/>
  <c r="L147" i="12"/>
  <c r="M147" i="12"/>
  <c r="M145" i="12" s="1"/>
  <c r="P145" i="12" s="1"/>
  <c r="N147" i="12"/>
  <c r="N145" i="12" s="1"/>
  <c r="I150" i="12"/>
  <c r="K150" i="12" s="1"/>
  <c r="I151" i="12"/>
  <c r="K151" i="12" s="1"/>
  <c r="I152" i="12"/>
  <c r="K152" i="12" s="1"/>
  <c r="I153" i="12"/>
  <c r="I138" i="12" s="1"/>
  <c r="I154" i="12"/>
  <c r="I136" i="12" s="1"/>
  <c r="K136" i="12" s="1"/>
  <c r="J156" i="12"/>
  <c r="L158" i="12"/>
  <c r="M158" i="12"/>
  <c r="N158" i="12"/>
  <c r="O158" i="12"/>
  <c r="O161" i="12"/>
  <c r="P161" i="12"/>
  <c r="L162" i="12"/>
  <c r="M162" i="12"/>
  <c r="M160" i="12" s="1"/>
  <c r="P160" i="12" s="1"/>
  <c r="N162" i="12"/>
  <c r="N160" i="12" s="1"/>
  <c r="O164" i="12"/>
  <c r="P164" i="12"/>
  <c r="L165" i="12"/>
  <c r="M165" i="12"/>
  <c r="P165" i="12" s="1"/>
  <c r="N165" i="12"/>
  <c r="N163" i="12" s="1"/>
  <c r="I167" i="12"/>
  <c r="K167" i="12" s="1"/>
  <c r="I168" i="12"/>
  <c r="K168" i="12" s="1"/>
  <c r="I169" i="12"/>
  <c r="I156" i="12" s="1"/>
  <c r="K156" i="12" s="1"/>
  <c r="J172" i="12"/>
  <c r="L174" i="12"/>
  <c r="M174" i="12"/>
  <c r="N174" i="12"/>
  <c r="O174" i="12"/>
  <c r="O177" i="12"/>
  <c r="P177" i="12"/>
  <c r="L178" i="12"/>
  <c r="M178" i="12"/>
  <c r="N178" i="12"/>
  <c r="O180" i="12"/>
  <c r="P180" i="12"/>
  <c r="L181" i="12"/>
  <c r="M181" i="12"/>
  <c r="N181" i="12"/>
  <c r="N179" i="12" s="1"/>
  <c r="I183" i="12"/>
  <c r="I172" i="12" s="1"/>
  <c r="K172" i="12" s="1"/>
  <c r="K184" i="12"/>
  <c r="L187" i="12"/>
  <c r="M187" i="12"/>
  <c r="N187" i="12"/>
  <c r="P187" i="12"/>
  <c r="O190" i="12"/>
  <c r="P190" i="12"/>
  <c r="L191" i="12"/>
  <c r="M191" i="12"/>
  <c r="M189" i="12" s="1"/>
  <c r="N191" i="12"/>
  <c r="N189" i="12" s="1"/>
  <c r="O193" i="12"/>
  <c r="P193" i="12"/>
  <c r="L194" i="12"/>
  <c r="L192" i="12" s="1"/>
  <c r="O192" i="12" s="1"/>
  <c r="M194" i="12"/>
  <c r="M192" i="12" s="1"/>
  <c r="P192" i="12" s="1"/>
  <c r="N194" i="12"/>
  <c r="N192" i="12" s="1"/>
  <c r="J195" i="12"/>
  <c r="L196" i="12"/>
  <c r="O196" i="12" s="1"/>
  <c r="P196" i="12"/>
  <c r="I198" i="12"/>
  <c r="K198" i="12" s="1"/>
  <c r="J199" i="12"/>
  <c r="J202" i="12"/>
  <c r="N203" i="12"/>
  <c r="P203" i="12"/>
  <c r="L204" i="12"/>
  <c r="L205" i="12"/>
  <c r="L206" i="12"/>
  <c r="L207" i="12"/>
  <c r="I209" i="12"/>
  <c r="I202" i="12" s="1"/>
  <c r="K202" i="12" s="1"/>
  <c r="I211" i="12"/>
  <c r="K211" i="12" s="1"/>
  <c r="I212" i="12"/>
  <c r="K212" i="12" s="1"/>
  <c r="J213" i="12"/>
  <c r="N214" i="12"/>
  <c r="P214" i="12"/>
  <c r="L215" i="12"/>
  <c r="L216" i="12"/>
  <c r="L217" i="12"/>
  <c r="I219" i="12"/>
  <c r="K219" i="12" s="1"/>
  <c r="I220" i="12"/>
  <c r="I213" i="12" s="1"/>
  <c r="K213" i="12" s="1"/>
  <c r="J221" i="12"/>
  <c r="N222" i="12"/>
  <c r="P222" i="12"/>
  <c r="L223" i="12"/>
  <c r="L224" i="12"/>
  <c r="L225" i="12"/>
  <c r="I228" i="12"/>
  <c r="K228" i="12" s="1"/>
  <c r="I229" i="12"/>
  <c r="K229" i="12" s="1"/>
  <c r="I230" i="12"/>
  <c r="K230" i="12" s="1"/>
  <c r="J231" i="12"/>
  <c r="J185" i="12" s="1"/>
  <c r="N233" i="12"/>
  <c r="N234" i="12"/>
  <c r="N235" i="12"/>
  <c r="N236" i="12"/>
  <c r="J238" i="12"/>
  <c r="I240" i="12"/>
  <c r="K240" i="12" s="1"/>
  <c r="J240" i="12"/>
  <c r="I241" i="12"/>
  <c r="J241" i="12"/>
  <c r="K241" i="12"/>
  <c r="J242" i="12"/>
  <c r="N243" i="12"/>
  <c r="P243" i="12"/>
  <c r="L244" i="12"/>
  <c r="L245" i="12"/>
  <c r="L246" i="12"/>
  <c r="L247" i="12"/>
  <c r="I249" i="12"/>
  <c r="I242" i="12" s="1"/>
  <c r="K251" i="12"/>
  <c r="K252" i="12"/>
  <c r="J253" i="12"/>
  <c r="N254" i="12"/>
  <c r="P254" i="12"/>
  <c r="L255" i="12"/>
  <c r="L256" i="12"/>
  <c r="L257" i="12"/>
  <c r="L258" i="12"/>
  <c r="I260" i="12"/>
  <c r="I253" i="12" s="1"/>
  <c r="K253" i="12" s="1"/>
  <c r="K262" i="12"/>
  <c r="K263" i="12"/>
  <c r="I265" i="12"/>
  <c r="K265" i="12" s="1"/>
  <c r="J265" i="12"/>
  <c r="L267" i="12"/>
  <c r="M267" i="12"/>
  <c r="P267" i="12" s="1"/>
  <c r="N267" i="12"/>
  <c r="O270" i="12"/>
  <c r="P270" i="12"/>
  <c r="L271" i="12"/>
  <c r="M271" i="12"/>
  <c r="M269" i="12" s="1"/>
  <c r="P269" i="12" s="1"/>
  <c r="N271" i="12"/>
  <c r="N269" i="12" s="1"/>
  <c r="O273" i="12"/>
  <c r="P273" i="12"/>
  <c r="L274" i="12"/>
  <c r="L272" i="12" s="1"/>
  <c r="O272" i="12" s="1"/>
  <c r="M274" i="12"/>
  <c r="M272" i="12" s="1"/>
  <c r="P272" i="12" s="1"/>
  <c r="N274" i="12"/>
  <c r="J281" i="12"/>
  <c r="L283" i="12"/>
  <c r="M283" i="12"/>
  <c r="P283" i="12" s="1"/>
  <c r="N283" i="12"/>
  <c r="O286" i="12"/>
  <c r="P286" i="12"/>
  <c r="L287" i="12"/>
  <c r="M287" i="12"/>
  <c r="M285" i="12" s="1"/>
  <c r="N287" i="12"/>
  <c r="O289" i="12"/>
  <c r="P289" i="12"/>
  <c r="L290" i="12"/>
  <c r="O290" i="12" s="1"/>
  <c r="M290" i="12"/>
  <c r="M288" i="12" s="1"/>
  <c r="P288" i="12" s="1"/>
  <c r="N290" i="12"/>
  <c r="N288" i="12" s="1"/>
  <c r="I292" i="12"/>
  <c r="I281" i="12" s="1"/>
  <c r="K281" i="12" s="1"/>
  <c r="I293" i="12"/>
  <c r="I280" i="12" s="1"/>
  <c r="K280" i="12" s="1"/>
  <c r="J293" i="12"/>
  <c r="J280" i="12" s="1"/>
  <c r="I295" i="12"/>
  <c r="K295" i="12" s="1"/>
  <c r="I296" i="12"/>
  <c r="K296" i="12" s="1"/>
  <c r="J302" i="12"/>
  <c r="L304" i="12"/>
  <c r="M304" i="12"/>
  <c r="P304" i="12" s="1"/>
  <c r="N304" i="12"/>
  <c r="O307" i="12"/>
  <c r="P307" i="12"/>
  <c r="L308" i="12"/>
  <c r="M308" i="12"/>
  <c r="M306" i="12" s="1"/>
  <c r="P306" i="12" s="1"/>
  <c r="N308" i="12"/>
  <c r="N306" i="12" s="1"/>
  <c r="O310" i="12"/>
  <c r="P310" i="12"/>
  <c r="L311" i="12"/>
  <c r="L309" i="12" s="1"/>
  <c r="O309" i="12" s="1"/>
  <c r="M311" i="12"/>
  <c r="M309" i="12" s="1"/>
  <c r="P309" i="12" s="1"/>
  <c r="N311" i="12"/>
  <c r="I314" i="12"/>
  <c r="K314" i="12" s="1"/>
  <c r="I315" i="12"/>
  <c r="K315" i="12" s="1"/>
  <c r="I316" i="12"/>
  <c r="K316" i="12" s="1"/>
  <c r="I317" i="12"/>
  <c r="K317" i="12" s="1"/>
  <c r="J319" i="12"/>
  <c r="L321" i="12"/>
  <c r="O321" i="12" s="1"/>
  <c r="M321" i="12"/>
  <c r="N321" i="12"/>
  <c r="O324" i="12"/>
  <c r="P324" i="12"/>
  <c r="L325" i="12"/>
  <c r="L323" i="12" s="1"/>
  <c r="O323" i="12" s="1"/>
  <c r="M325" i="12"/>
  <c r="M323" i="12" s="1"/>
  <c r="P323" i="12" s="1"/>
  <c r="N325" i="12"/>
  <c r="N323" i="12" s="1"/>
  <c r="O327" i="12"/>
  <c r="P327" i="12"/>
  <c r="L328" i="12"/>
  <c r="L326" i="12" s="1"/>
  <c r="O326" i="12" s="1"/>
  <c r="M328" i="12"/>
  <c r="M326" i="12" s="1"/>
  <c r="P326" i="12" s="1"/>
  <c r="N328" i="12"/>
  <c r="N326" i="12" s="1"/>
  <c r="I330" i="12"/>
  <c r="K330" i="12" s="1"/>
  <c r="L334" i="12"/>
  <c r="O334" i="12" s="1"/>
  <c r="M334" i="12"/>
  <c r="P334" i="12" s="1"/>
  <c r="N334" i="12"/>
  <c r="O337" i="12"/>
  <c r="P337" i="12"/>
  <c r="L338" i="12"/>
  <c r="L336" i="12" s="1"/>
  <c r="M338" i="12"/>
  <c r="N338" i="12"/>
  <c r="N336" i="12" s="1"/>
  <c r="O340" i="12"/>
  <c r="P340" i="12"/>
  <c r="L341" i="12"/>
  <c r="L339" i="12" s="1"/>
  <c r="O339" i="12" s="1"/>
  <c r="M341" i="12"/>
  <c r="P341" i="12" s="1"/>
  <c r="N341" i="12"/>
  <c r="N339" i="12" s="1"/>
  <c r="I344" i="12"/>
  <c r="I332" i="12" s="1"/>
  <c r="J344" i="12"/>
  <c r="I346" i="12"/>
  <c r="J346" i="12"/>
  <c r="J347" i="12"/>
  <c r="J348" i="12"/>
  <c r="J349" i="12"/>
  <c r="D350" i="12"/>
  <c r="J352" i="12"/>
  <c r="J353" i="12"/>
  <c r="D354" i="12"/>
  <c r="L357" i="12"/>
  <c r="O357" i="12" s="1"/>
  <c r="M357" i="12"/>
  <c r="P357" i="12" s="1"/>
  <c r="N357" i="12"/>
  <c r="O360" i="12"/>
  <c r="P360" i="12"/>
  <c r="L361" i="12"/>
  <c r="L359" i="12" s="1"/>
  <c r="M361" i="12"/>
  <c r="M359" i="12" s="1"/>
  <c r="N361" i="12"/>
  <c r="N359" i="12" s="1"/>
  <c r="O363" i="12"/>
  <c r="P363" i="12"/>
  <c r="L364" i="12"/>
  <c r="L362" i="12" s="1"/>
  <c r="O362" i="12" s="1"/>
  <c r="M364" i="12"/>
  <c r="P364" i="12" s="1"/>
  <c r="N364" i="12"/>
  <c r="N362" i="12" s="1"/>
  <c r="J367" i="12"/>
  <c r="K367" i="12"/>
  <c r="I368" i="12"/>
  <c r="J368" i="12"/>
  <c r="I369" i="12"/>
  <c r="J369" i="12"/>
  <c r="J370" i="12"/>
  <c r="K370" i="12"/>
  <c r="I371" i="12"/>
  <c r="I365" i="12" s="1"/>
  <c r="J371" i="12"/>
  <c r="J365" i="12" s="1"/>
  <c r="J372" i="12"/>
  <c r="K372" i="12"/>
  <c r="D373" i="12"/>
  <c r="I376" i="12"/>
  <c r="J376" i="12"/>
  <c r="K376" i="12"/>
  <c r="L378" i="12"/>
  <c r="O378" i="12" s="1"/>
  <c r="M378" i="12"/>
  <c r="N378" i="12"/>
  <c r="O381" i="12"/>
  <c r="P381" i="12"/>
  <c r="L382" i="12"/>
  <c r="O382" i="12" s="1"/>
  <c r="M382" i="12"/>
  <c r="P382" i="12" s="1"/>
  <c r="N382" i="12"/>
  <c r="O384" i="12"/>
  <c r="P384" i="12"/>
  <c r="L385" i="12"/>
  <c r="O385" i="12" s="1"/>
  <c r="M385" i="12"/>
  <c r="P385" i="12" s="1"/>
  <c r="N385" i="12"/>
  <c r="N383" i="12" s="1"/>
  <c r="K387" i="12"/>
  <c r="K388" i="12"/>
  <c r="A391" i="12"/>
  <c r="A3" i="11"/>
  <c r="L22" i="11"/>
  <c r="M22" i="11"/>
  <c r="N22" i="11"/>
  <c r="L25" i="11"/>
  <c r="O25" i="11" s="1"/>
  <c r="M25" i="11"/>
  <c r="P25" i="11" s="1"/>
  <c r="N25" i="11"/>
  <c r="L45" i="11"/>
  <c r="O45" i="11" s="1"/>
  <c r="M45" i="11"/>
  <c r="P45" i="11" s="1"/>
  <c r="N45" i="11"/>
  <c r="O48" i="11"/>
  <c r="P48" i="11"/>
  <c r="L49" i="11"/>
  <c r="L47" i="11" s="1"/>
  <c r="M49" i="11"/>
  <c r="M47" i="11" s="1"/>
  <c r="N49" i="11"/>
  <c r="N47" i="11" s="1"/>
  <c r="O51" i="11"/>
  <c r="P51" i="11"/>
  <c r="L52" i="11"/>
  <c r="L50" i="11" s="1"/>
  <c r="O50" i="11" s="1"/>
  <c r="M52" i="11"/>
  <c r="P52" i="11" s="1"/>
  <c r="N52" i="11"/>
  <c r="N50" i="11" s="1"/>
  <c r="L60" i="11"/>
  <c r="M60" i="11"/>
  <c r="P60" i="11" s="1"/>
  <c r="N60" i="11"/>
  <c r="O63" i="11"/>
  <c r="P63" i="11"/>
  <c r="L64" i="11"/>
  <c r="M64" i="11"/>
  <c r="N64" i="11"/>
  <c r="N62" i="11" s="1"/>
  <c r="O66" i="11"/>
  <c r="P66" i="11"/>
  <c r="L67" i="11"/>
  <c r="O67" i="11" s="1"/>
  <c r="M67" i="11"/>
  <c r="N67" i="11"/>
  <c r="N65" i="11" s="1"/>
  <c r="J70" i="11"/>
  <c r="L73" i="11"/>
  <c r="O73" i="11" s="1"/>
  <c r="M73" i="11"/>
  <c r="P73" i="11" s="1"/>
  <c r="N73" i="11"/>
  <c r="O76" i="11"/>
  <c r="P76" i="11"/>
  <c r="L77" i="11"/>
  <c r="L75" i="11" s="1"/>
  <c r="O75" i="11" s="1"/>
  <c r="M77" i="11"/>
  <c r="M75" i="11" s="1"/>
  <c r="P75" i="11" s="1"/>
  <c r="N77" i="11"/>
  <c r="N75" i="11" s="1"/>
  <c r="O79" i="11"/>
  <c r="P79" i="11"/>
  <c r="L80" i="11"/>
  <c r="L78" i="11" s="1"/>
  <c r="O78" i="11" s="1"/>
  <c r="M80" i="11"/>
  <c r="M78" i="11" s="1"/>
  <c r="P78" i="11" s="1"/>
  <c r="N80" i="11"/>
  <c r="N78" i="11" s="1"/>
  <c r="J82" i="11"/>
  <c r="J83" i="11"/>
  <c r="J71" i="11" s="1"/>
  <c r="I84" i="11"/>
  <c r="K84" i="11" s="1"/>
  <c r="I85" i="1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O95" i="11" s="1"/>
  <c r="M95" i="11"/>
  <c r="N95" i="11"/>
  <c r="P95" i="11"/>
  <c r="O98" i="11"/>
  <c r="P98" i="11"/>
  <c r="L99" i="11"/>
  <c r="M99" i="11"/>
  <c r="M97" i="11" s="1"/>
  <c r="P97" i="11" s="1"/>
  <c r="N99" i="11"/>
  <c r="N97" i="11" s="1"/>
  <c r="O101" i="11"/>
  <c r="P101" i="11"/>
  <c r="L102" i="11"/>
  <c r="O102" i="11" s="1"/>
  <c r="M102" i="11"/>
  <c r="M100" i="11" s="1"/>
  <c r="P100" i="11" s="1"/>
  <c r="N102" i="11"/>
  <c r="N100" i="11" s="1"/>
  <c r="I108" i="11"/>
  <c r="I109" i="11"/>
  <c r="K109" i="11" s="1"/>
  <c r="I117" i="11"/>
  <c r="K117" i="11" s="1"/>
  <c r="L126" i="11"/>
  <c r="O126" i="11" s="1"/>
  <c r="M126" i="11"/>
  <c r="N126" i="11"/>
  <c r="O129" i="11"/>
  <c r="P129" i="11"/>
  <c r="L130" i="11"/>
  <c r="O130" i="11" s="1"/>
  <c r="M130" i="11"/>
  <c r="P130" i="11" s="1"/>
  <c r="N130" i="11"/>
  <c r="N128" i="11" s="1"/>
  <c r="O132" i="11"/>
  <c r="P132" i="11"/>
  <c r="L133" i="11"/>
  <c r="L131" i="11" s="1"/>
  <c r="O131" i="11" s="1"/>
  <c r="M133" i="11"/>
  <c r="P133" i="11" s="1"/>
  <c r="N133" i="11"/>
  <c r="N131" i="11" s="1"/>
  <c r="J136" i="11"/>
  <c r="J137" i="11"/>
  <c r="J138" i="11"/>
  <c r="L140" i="11"/>
  <c r="O140" i="11" s="1"/>
  <c r="M140" i="11"/>
  <c r="N140" i="11"/>
  <c r="O143" i="11"/>
  <c r="P143" i="11"/>
  <c r="L144" i="11"/>
  <c r="L142" i="11" s="1"/>
  <c r="M144" i="11"/>
  <c r="N144" i="11"/>
  <c r="N142" i="11" s="1"/>
  <c r="O146" i="11"/>
  <c r="P146" i="11"/>
  <c r="L147" i="11"/>
  <c r="O147" i="11" s="1"/>
  <c r="M147" i="11"/>
  <c r="P147" i="11" s="1"/>
  <c r="N147" i="11"/>
  <c r="N145" i="11" s="1"/>
  <c r="I150" i="11"/>
  <c r="K150" i="11" s="1"/>
  <c r="I151" i="11"/>
  <c r="K151" i="11" s="1"/>
  <c r="I152" i="11"/>
  <c r="I137" i="11" s="1"/>
  <c r="K137" i="11" s="1"/>
  <c r="I153" i="11"/>
  <c r="I138" i="11" s="1"/>
  <c r="I154" i="11"/>
  <c r="I136" i="11" s="1"/>
  <c r="K136" i="11" s="1"/>
  <c r="J156" i="11"/>
  <c r="L158" i="11"/>
  <c r="M158" i="11"/>
  <c r="P158" i="11" s="1"/>
  <c r="N158" i="11"/>
  <c r="O158" i="11"/>
  <c r="O161" i="11"/>
  <c r="P161" i="11"/>
  <c r="L162" i="11"/>
  <c r="L160" i="11" s="1"/>
  <c r="M162" i="11"/>
  <c r="M160" i="11" s="1"/>
  <c r="P160" i="11" s="1"/>
  <c r="N162" i="11"/>
  <c r="O164" i="11"/>
  <c r="P164" i="11"/>
  <c r="L165" i="11"/>
  <c r="L163" i="11" s="1"/>
  <c r="O163" i="11" s="1"/>
  <c r="M165" i="11"/>
  <c r="M163" i="11" s="1"/>
  <c r="P163" i="11" s="1"/>
  <c r="N165" i="11"/>
  <c r="N163" i="11" s="1"/>
  <c r="I167" i="11"/>
  <c r="I156" i="11" s="1"/>
  <c r="J172" i="11"/>
  <c r="L174" i="11"/>
  <c r="O174" i="11" s="1"/>
  <c r="M174" i="11"/>
  <c r="P174" i="11" s="1"/>
  <c r="N174" i="11"/>
  <c r="O177" i="11"/>
  <c r="P177" i="11"/>
  <c r="L178" i="11"/>
  <c r="L176" i="11" s="1"/>
  <c r="M178" i="11"/>
  <c r="M176" i="11" s="1"/>
  <c r="N178" i="11"/>
  <c r="N176" i="11" s="1"/>
  <c r="O180" i="11"/>
  <c r="P180" i="11"/>
  <c r="L181" i="11"/>
  <c r="L179" i="11" s="1"/>
  <c r="O179" i="11" s="1"/>
  <c r="M181" i="11"/>
  <c r="M179" i="11" s="1"/>
  <c r="P179" i="11" s="1"/>
  <c r="N181" i="11"/>
  <c r="N179" i="11" s="1"/>
  <c r="I183" i="11"/>
  <c r="I172" i="11" s="1"/>
  <c r="K172" i="11" s="1"/>
  <c r="K184" i="11"/>
  <c r="L187" i="11"/>
  <c r="M187" i="11"/>
  <c r="P187" i="11" s="1"/>
  <c r="N187" i="11"/>
  <c r="O190" i="11"/>
  <c r="P190" i="11"/>
  <c r="L191" i="11"/>
  <c r="M191" i="11"/>
  <c r="N191" i="11"/>
  <c r="N189" i="11" s="1"/>
  <c r="O193" i="11"/>
  <c r="P193" i="11"/>
  <c r="L194" i="11"/>
  <c r="O194" i="11" s="1"/>
  <c r="M194" i="11"/>
  <c r="N194" i="11"/>
  <c r="N192" i="11" s="1"/>
  <c r="J195" i="11"/>
  <c r="L196" i="11"/>
  <c r="O196" i="11" s="1"/>
  <c r="P196" i="11"/>
  <c r="I198" i="11"/>
  <c r="I195" i="11" s="1"/>
  <c r="K195" i="11" s="1"/>
  <c r="J199" i="11"/>
  <c r="J202" i="11"/>
  <c r="N203" i="11"/>
  <c r="P203" i="11"/>
  <c r="L204" i="11"/>
  <c r="L205" i="11"/>
  <c r="L206" i="11"/>
  <c r="L207" i="11"/>
  <c r="I209" i="11"/>
  <c r="I211" i="11"/>
  <c r="K211" i="11" s="1"/>
  <c r="I212" i="11"/>
  <c r="K212" i="11" s="1"/>
  <c r="J213" i="11"/>
  <c r="N214" i="11"/>
  <c r="P214" i="11"/>
  <c r="L215" i="11"/>
  <c r="L216" i="11"/>
  <c r="L217" i="11"/>
  <c r="I219" i="11"/>
  <c r="K219" i="11" s="1"/>
  <c r="I220" i="11"/>
  <c r="K220" i="11" s="1"/>
  <c r="J221" i="11"/>
  <c r="N222" i="11"/>
  <c r="P222" i="11"/>
  <c r="L223" i="11"/>
  <c r="L224" i="11"/>
  <c r="L225" i="11"/>
  <c r="I228" i="11"/>
  <c r="K228" i="11" s="1"/>
  <c r="I229" i="11"/>
  <c r="I221" i="11" s="1"/>
  <c r="I230" i="11"/>
  <c r="K230" i="11" s="1"/>
  <c r="N233" i="11"/>
  <c r="N234" i="11"/>
  <c r="N235" i="11"/>
  <c r="N236" i="11"/>
  <c r="J238" i="11"/>
  <c r="I240" i="11"/>
  <c r="K240" i="11" s="1"/>
  <c r="J240" i="11"/>
  <c r="I241" i="11"/>
  <c r="K241" i="11" s="1"/>
  <c r="J241" i="11"/>
  <c r="J242" i="11"/>
  <c r="J231" i="11" s="1"/>
  <c r="J185" i="11" s="1"/>
  <c r="N243" i="11"/>
  <c r="N232" i="11" s="1"/>
  <c r="P243" i="11"/>
  <c r="L244" i="11"/>
  <c r="L245" i="11"/>
  <c r="L246" i="11"/>
  <c r="L247" i="11"/>
  <c r="I249" i="11"/>
  <c r="K251" i="11"/>
  <c r="K252" i="11"/>
  <c r="J253" i="11"/>
  <c r="N254" i="11"/>
  <c r="P254" i="11"/>
  <c r="L255" i="11"/>
  <c r="L256" i="11"/>
  <c r="L257" i="11"/>
  <c r="L258" i="11"/>
  <c r="I260" i="11"/>
  <c r="K262" i="11"/>
  <c r="K263" i="11"/>
  <c r="I265" i="11"/>
  <c r="K265" i="11" s="1"/>
  <c r="J265" i="11"/>
  <c r="L267" i="11"/>
  <c r="M267" i="11"/>
  <c r="N267" i="11"/>
  <c r="O270" i="11"/>
  <c r="P270" i="11"/>
  <c r="L271" i="11"/>
  <c r="O271" i="11" s="1"/>
  <c r="M271" i="11"/>
  <c r="N271" i="11"/>
  <c r="N269" i="11" s="1"/>
  <c r="O273" i="11"/>
  <c r="P273" i="11"/>
  <c r="L274" i="11"/>
  <c r="M274" i="11"/>
  <c r="P274" i="11" s="1"/>
  <c r="N274" i="11"/>
  <c r="N272" i="11" s="1"/>
  <c r="J280" i="11"/>
  <c r="J281" i="11"/>
  <c r="L283" i="11"/>
  <c r="O283" i="11" s="1"/>
  <c r="M283" i="11"/>
  <c r="P283" i="11" s="1"/>
  <c r="N283" i="11"/>
  <c r="O286" i="11"/>
  <c r="P286" i="11"/>
  <c r="L287" i="11"/>
  <c r="L285" i="11" s="1"/>
  <c r="M287" i="11"/>
  <c r="M285" i="11" s="1"/>
  <c r="N287" i="11"/>
  <c r="N285" i="11" s="1"/>
  <c r="O289" i="11"/>
  <c r="P289" i="11"/>
  <c r="L290" i="11"/>
  <c r="L288" i="11" s="1"/>
  <c r="O288" i="11" s="1"/>
  <c r="M290" i="11"/>
  <c r="M288" i="11" s="1"/>
  <c r="P288" i="11" s="1"/>
  <c r="N290" i="11"/>
  <c r="N288" i="11" s="1"/>
  <c r="I292" i="11"/>
  <c r="I281" i="11" s="1"/>
  <c r="K281" i="11" s="1"/>
  <c r="I293" i="11"/>
  <c r="I280" i="11" s="1"/>
  <c r="K280" i="11" s="1"/>
  <c r="J293" i="11"/>
  <c r="I295" i="11"/>
  <c r="K295" i="11" s="1"/>
  <c r="I296" i="11"/>
  <c r="K296" i="11" s="1"/>
  <c r="J302" i="11"/>
  <c r="L304" i="11"/>
  <c r="M304" i="11"/>
  <c r="P304" i="11" s="1"/>
  <c r="N304" i="11"/>
  <c r="O307" i="11"/>
  <c r="P307" i="11"/>
  <c r="L308" i="11"/>
  <c r="M308" i="11"/>
  <c r="M306" i="11" s="1"/>
  <c r="N308" i="11"/>
  <c r="N306" i="11" s="1"/>
  <c r="O310" i="11"/>
  <c r="P310" i="11"/>
  <c r="L311" i="11"/>
  <c r="M311" i="11"/>
  <c r="P311" i="11" s="1"/>
  <c r="N311" i="11"/>
  <c r="N309" i="11" s="1"/>
  <c r="I314" i="11"/>
  <c r="I302" i="11" s="1"/>
  <c r="K302" i="11" s="1"/>
  <c r="I315" i="11"/>
  <c r="K315" i="11" s="1"/>
  <c r="I316" i="11"/>
  <c r="K316" i="11" s="1"/>
  <c r="I317" i="11"/>
  <c r="K317" i="11" s="1"/>
  <c r="J319" i="11"/>
  <c r="L321" i="11"/>
  <c r="M321" i="11"/>
  <c r="N321" i="11"/>
  <c r="O321" i="11"/>
  <c r="P321" i="11"/>
  <c r="O324" i="11"/>
  <c r="P324" i="11"/>
  <c r="L325" i="11"/>
  <c r="L323" i="11" s="1"/>
  <c r="O323" i="11" s="1"/>
  <c r="M325" i="11"/>
  <c r="M323" i="11" s="1"/>
  <c r="P323" i="11" s="1"/>
  <c r="N325" i="11"/>
  <c r="N323" i="11" s="1"/>
  <c r="O327" i="11"/>
  <c r="P327" i="11"/>
  <c r="L328" i="11"/>
  <c r="O328" i="11" s="1"/>
  <c r="M328" i="11"/>
  <c r="M326" i="11" s="1"/>
  <c r="P326" i="11" s="1"/>
  <c r="N328" i="11"/>
  <c r="N326" i="11" s="1"/>
  <c r="I330" i="11"/>
  <c r="K330" i="11" s="1"/>
  <c r="L334" i="11"/>
  <c r="O334" i="11" s="1"/>
  <c r="M334" i="11"/>
  <c r="P334" i="11" s="1"/>
  <c r="N334" i="11"/>
  <c r="O337" i="11"/>
  <c r="P337" i="11"/>
  <c r="L338" i="11"/>
  <c r="L336" i="11" s="1"/>
  <c r="M338" i="11"/>
  <c r="M336" i="11" s="1"/>
  <c r="N338" i="11"/>
  <c r="O340" i="11"/>
  <c r="P340" i="11"/>
  <c r="L341" i="11"/>
  <c r="L339" i="11" s="1"/>
  <c r="O339" i="11" s="1"/>
  <c r="M341" i="11"/>
  <c r="M339" i="11" s="1"/>
  <c r="P339" i="11" s="1"/>
  <c r="N341" i="11"/>
  <c r="N339" i="11" s="1"/>
  <c r="I344" i="11"/>
  <c r="I332" i="11" s="1"/>
  <c r="J344" i="11"/>
  <c r="I346" i="11"/>
  <c r="J346" i="11"/>
  <c r="J347" i="11"/>
  <c r="J348" i="11"/>
  <c r="J349" i="11"/>
  <c r="D350" i="11"/>
  <c r="J352" i="11"/>
  <c r="J353" i="11"/>
  <c r="D354" i="11"/>
  <c r="L357" i="11"/>
  <c r="O357" i="11" s="1"/>
  <c r="M357" i="11"/>
  <c r="P357" i="11" s="1"/>
  <c r="N357" i="11"/>
  <c r="O360" i="11"/>
  <c r="P360" i="11"/>
  <c r="L361" i="11"/>
  <c r="M361" i="11"/>
  <c r="M359" i="11" s="1"/>
  <c r="N361" i="11"/>
  <c r="O363" i="11"/>
  <c r="P363" i="11"/>
  <c r="L364" i="11"/>
  <c r="O364" i="11" s="1"/>
  <c r="M364" i="11"/>
  <c r="P364" i="11" s="1"/>
  <c r="N364" i="11"/>
  <c r="N362" i="11" s="1"/>
  <c r="J367" i="11"/>
  <c r="K367" i="11"/>
  <c r="I368" i="11"/>
  <c r="J368" i="11"/>
  <c r="I369" i="11"/>
  <c r="J369" i="11"/>
  <c r="J370" i="11"/>
  <c r="K370" i="11"/>
  <c r="I371" i="11"/>
  <c r="I365" i="11" s="1"/>
  <c r="J371" i="11"/>
  <c r="J365" i="11" s="1"/>
  <c r="J372" i="11"/>
  <c r="K372" i="11"/>
  <c r="D373" i="11"/>
  <c r="I376" i="11"/>
  <c r="J376" i="11"/>
  <c r="K376" i="11"/>
  <c r="L378" i="11"/>
  <c r="O378" i="11" s="1"/>
  <c r="M378" i="11"/>
  <c r="N378" i="11"/>
  <c r="O381" i="11"/>
  <c r="P381" i="11"/>
  <c r="L382" i="11"/>
  <c r="O382" i="11" s="1"/>
  <c r="M382" i="11"/>
  <c r="P382" i="11" s="1"/>
  <c r="N382" i="11"/>
  <c r="N380" i="11" s="1"/>
  <c r="O384" i="11"/>
  <c r="P384" i="11"/>
  <c r="L385" i="11"/>
  <c r="L383" i="11" s="1"/>
  <c r="O383" i="11" s="1"/>
  <c r="M385" i="11"/>
  <c r="P385" i="11" s="1"/>
  <c r="N385" i="11"/>
  <c r="N383" i="11" s="1"/>
  <c r="K387" i="11"/>
  <c r="K388" i="11"/>
  <c r="A391" i="11"/>
  <c r="A3" i="10"/>
  <c r="L22" i="10"/>
  <c r="O22" i="10" s="1"/>
  <c r="M22" i="10"/>
  <c r="N22" i="10"/>
  <c r="P22" i="10"/>
  <c r="L25" i="10"/>
  <c r="L19" i="10" s="1"/>
  <c r="M25" i="10"/>
  <c r="M19" i="10" s="1"/>
  <c r="N25" i="10"/>
  <c r="L45" i="10"/>
  <c r="M45" i="10"/>
  <c r="N45" i="10"/>
  <c r="O45" i="10"/>
  <c r="P45" i="10"/>
  <c r="O48" i="10"/>
  <c r="P48" i="10"/>
  <c r="L49" i="10"/>
  <c r="L47" i="10" s="1"/>
  <c r="M49" i="10"/>
  <c r="M47" i="10" s="1"/>
  <c r="N49" i="10"/>
  <c r="O51" i="10"/>
  <c r="P51" i="10"/>
  <c r="L52" i="10"/>
  <c r="L50" i="10" s="1"/>
  <c r="O50" i="10" s="1"/>
  <c r="M52" i="10"/>
  <c r="M50" i="10" s="1"/>
  <c r="P50" i="10" s="1"/>
  <c r="N52" i="10"/>
  <c r="N50" i="10" s="1"/>
  <c r="L60" i="10"/>
  <c r="M60" i="10"/>
  <c r="P60" i="10" s="1"/>
  <c r="N60" i="10"/>
  <c r="O63" i="10"/>
  <c r="P63" i="10"/>
  <c r="L64" i="10"/>
  <c r="M64" i="10"/>
  <c r="N64" i="10"/>
  <c r="N62" i="10" s="1"/>
  <c r="O66" i="10"/>
  <c r="P66" i="10"/>
  <c r="L67" i="10"/>
  <c r="L65" i="10" s="1"/>
  <c r="O65" i="10" s="1"/>
  <c r="M67" i="10"/>
  <c r="N67" i="10"/>
  <c r="N65" i="10" s="1"/>
  <c r="L73" i="10"/>
  <c r="M73" i="10"/>
  <c r="N73" i="10"/>
  <c r="O73" i="10"/>
  <c r="P73" i="10"/>
  <c r="O76" i="10"/>
  <c r="P76" i="10"/>
  <c r="L77" i="10"/>
  <c r="L75" i="10" s="1"/>
  <c r="O75" i="10" s="1"/>
  <c r="M77" i="10"/>
  <c r="N77" i="10"/>
  <c r="O79" i="10"/>
  <c r="P79" i="10"/>
  <c r="L80" i="10"/>
  <c r="L78" i="10" s="1"/>
  <c r="O78" i="10" s="1"/>
  <c r="M80" i="10"/>
  <c r="M78" i="10" s="1"/>
  <c r="P78" i="10" s="1"/>
  <c r="N80" i="10"/>
  <c r="N78" i="10" s="1"/>
  <c r="J82" i="10"/>
  <c r="J70" i="10" s="1"/>
  <c r="J83" i="10"/>
  <c r="J71" i="10" s="1"/>
  <c r="I84" i="10"/>
  <c r="I85" i="10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M95" i="10"/>
  <c r="P95" i="10" s="1"/>
  <c r="N95" i="10"/>
  <c r="O98" i="10"/>
  <c r="P98" i="10"/>
  <c r="L99" i="10"/>
  <c r="M99" i="10"/>
  <c r="N99" i="10"/>
  <c r="O101" i="10"/>
  <c r="P101" i="10"/>
  <c r="L102" i="10"/>
  <c r="O102" i="10" s="1"/>
  <c r="M102" i="10"/>
  <c r="N102" i="10"/>
  <c r="N100" i="10" s="1"/>
  <c r="I108" i="10"/>
  <c r="I109" i="10"/>
  <c r="K109" i="10" s="1"/>
  <c r="I117" i="10"/>
  <c r="K117" i="10" s="1"/>
  <c r="L126" i="10"/>
  <c r="M126" i="10"/>
  <c r="N126" i="10"/>
  <c r="O126" i="10"/>
  <c r="O129" i="10"/>
  <c r="P129" i="10"/>
  <c r="L130" i="10"/>
  <c r="L128" i="10" s="1"/>
  <c r="O128" i="10" s="1"/>
  <c r="M130" i="10"/>
  <c r="M128" i="10" s="1"/>
  <c r="P128" i="10" s="1"/>
  <c r="N130" i="10"/>
  <c r="N128" i="10" s="1"/>
  <c r="O132" i="10"/>
  <c r="P132" i="10"/>
  <c r="L133" i="10"/>
  <c r="L131" i="10" s="1"/>
  <c r="O131" i="10" s="1"/>
  <c r="M133" i="10"/>
  <c r="M131" i="10" s="1"/>
  <c r="P131" i="10" s="1"/>
  <c r="N133" i="10"/>
  <c r="N131" i="10" s="1"/>
  <c r="J136" i="10"/>
  <c r="J137" i="10"/>
  <c r="J138" i="10"/>
  <c r="L140" i="10"/>
  <c r="O140" i="10" s="1"/>
  <c r="M140" i="10"/>
  <c r="P140" i="10" s="1"/>
  <c r="N140" i="10"/>
  <c r="O143" i="10"/>
  <c r="P143" i="10"/>
  <c r="L144" i="10"/>
  <c r="L142" i="10" s="1"/>
  <c r="O142" i="10" s="1"/>
  <c r="M144" i="10"/>
  <c r="M142" i="10" s="1"/>
  <c r="P142" i="10" s="1"/>
  <c r="N144" i="10"/>
  <c r="N142" i="10" s="1"/>
  <c r="O146" i="10"/>
  <c r="P146" i="10"/>
  <c r="L147" i="10"/>
  <c r="L145" i="10" s="1"/>
  <c r="O145" i="10" s="1"/>
  <c r="M147" i="10"/>
  <c r="M145" i="10" s="1"/>
  <c r="P145" i="10" s="1"/>
  <c r="N147" i="10"/>
  <c r="N145" i="10" s="1"/>
  <c r="I150" i="10"/>
  <c r="K150" i="10" s="1"/>
  <c r="I151" i="10"/>
  <c r="K151" i="10" s="1"/>
  <c r="I152" i="10"/>
  <c r="K152" i="10" s="1"/>
  <c r="I153" i="10"/>
  <c r="K153" i="10" s="1"/>
  <c r="I154" i="10"/>
  <c r="I136" i="10" s="1"/>
  <c r="K136" i="10" s="1"/>
  <c r="J156" i="10"/>
  <c r="L158" i="10"/>
  <c r="O158" i="10" s="1"/>
  <c r="M158" i="10"/>
  <c r="P158" i="10" s="1"/>
  <c r="N158" i="10"/>
  <c r="O161" i="10"/>
  <c r="P161" i="10"/>
  <c r="L162" i="10"/>
  <c r="M162" i="10"/>
  <c r="M160" i="10" s="1"/>
  <c r="P160" i="10" s="1"/>
  <c r="N162" i="10"/>
  <c r="N160" i="10" s="1"/>
  <c r="O164" i="10"/>
  <c r="P164" i="10"/>
  <c r="L165" i="10"/>
  <c r="M165" i="10"/>
  <c r="M163" i="10" s="1"/>
  <c r="P163" i="10" s="1"/>
  <c r="N165" i="10"/>
  <c r="N163" i="10" s="1"/>
  <c r="I167" i="10"/>
  <c r="K167" i="10" s="1"/>
  <c r="I168" i="10"/>
  <c r="K168" i="10" s="1"/>
  <c r="I169" i="10"/>
  <c r="I156" i="10" s="1"/>
  <c r="K156" i="10" s="1"/>
  <c r="J172" i="10"/>
  <c r="L174" i="10"/>
  <c r="M174" i="10"/>
  <c r="P174" i="10" s="1"/>
  <c r="N174" i="10"/>
  <c r="O177" i="10"/>
  <c r="P177" i="10"/>
  <c r="L178" i="10"/>
  <c r="M178" i="10"/>
  <c r="N178" i="10"/>
  <c r="O180" i="10"/>
  <c r="P180" i="10"/>
  <c r="L181" i="10"/>
  <c r="M181" i="10"/>
  <c r="M179" i="10" s="1"/>
  <c r="P179" i="10" s="1"/>
  <c r="N181" i="10"/>
  <c r="N179" i="10" s="1"/>
  <c r="I183" i="10"/>
  <c r="I172" i="10" s="1"/>
  <c r="K184" i="10"/>
  <c r="L187" i="10"/>
  <c r="O187" i="10" s="1"/>
  <c r="M187" i="10"/>
  <c r="P187" i="10" s="1"/>
  <c r="N187" i="10"/>
  <c r="O190" i="10"/>
  <c r="P190" i="10"/>
  <c r="L191" i="10"/>
  <c r="L189" i="10" s="1"/>
  <c r="M191" i="10"/>
  <c r="M189" i="10" s="1"/>
  <c r="N191" i="10"/>
  <c r="N189" i="10" s="1"/>
  <c r="O193" i="10"/>
  <c r="P193" i="10"/>
  <c r="L194" i="10"/>
  <c r="L192" i="10" s="1"/>
  <c r="O192" i="10" s="1"/>
  <c r="M194" i="10"/>
  <c r="M192" i="10" s="1"/>
  <c r="P192" i="10" s="1"/>
  <c r="N194" i="10"/>
  <c r="N192" i="10" s="1"/>
  <c r="J195" i="10"/>
  <c r="L196" i="10"/>
  <c r="O196" i="10" s="1"/>
  <c r="P196" i="10"/>
  <c r="I198" i="10"/>
  <c r="I195" i="10" s="1"/>
  <c r="J199" i="10"/>
  <c r="J202" i="10"/>
  <c r="N203" i="10"/>
  <c r="P203" i="10"/>
  <c r="L204" i="10"/>
  <c r="L205" i="10"/>
  <c r="L206" i="10"/>
  <c r="L207" i="10"/>
  <c r="I209" i="10"/>
  <c r="K209" i="10" s="1"/>
  <c r="I211" i="10"/>
  <c r="K211" i="10" s="1"/>
  <c r="I212" i="10"/>
  <c r="K212" i="10" s="1"/>
  <c r="J213" i="10"/>
  <c r="N214" i="10"/>
  <c r="P214" i="10"/>
  <c r="L215" i="10"/>
  <c r="L216" i="10"/>
  <c r="L217" i="10"/>
  <c r="I219" i="10"/>
  <c r="K219" i="10" s="1"/>
  <c r="I220" i="10"/>
  <c r="I213" i="10" s="1"/>
  <c r="K213" i="10" s="1"/>
  <c r="J221" i="10"/>
  <c r="N222" i="10"/>
  <c r="P222" i="10"/>
  <c r="L223" i="10"/>
  <c r="L224" i="10"/>
  <c r="L225" i="10"/>
  <c r="I228" i="10"/>
  <c r="K228" i="10" s="1"/>
  <c r="I229" i="10"/>
  <c r="K229" i="10" s="1"/>
  <c r="I230" i="10"/>
  <c r="K230" i="10" s="1"/>
  <c r="N233" i="10"/>
  <c r="N234" i="10"/>
  <c r="N235" i="10"/>
  <c r="N236" i="10"/>
  <c r="J238" i="10"/>
  <c r="I240" i="10"/>
  <c r="K240" i="10" s="1"/>
  <c r="J240" i="10"/>
  <c r="I241" i="10"/>
  <c r="K241" i="10" s="1"/>
  <c r="J241" i="10"/>
  <c r="J242" i="10"/>
  <c r="J231" i="10" s="1"/>
  <c r="J185" i="10" s="1"/>
  <c r="N243" i="10"/>
  <c r="P243" i="10"/>
  <c r="L244" i="10"/>
  <c r="L245" i="10"/>
  <c r="L246" i="10"/>
  <c r="L247" i="10"/>
  <c r="I249" i="10"/>
  <c r="K251" i="10"/>
  <c r="K252" i="10"/>
  <c r="J253" i="10"/>
  <c r="N254" i="10"/>
  <c r="P254" i="10"/>
  <c r="L255" i="10"/>
  <c r="L256" i="10"/>
  <c r="L257" i="10"/>
  <c r="L258" i="10"/>
  <c r="I260" i="10"/>
  <c r="K260" i="10" s="1"/>
  <c r="K262" i="10"/>
  <c r="K263" i="10"/>
  <c r="I265" i="10"/>
  <c r="J265" i="10"/>
  <c r="K265" i="10"/>
  <c r="L267" i="10"/>
  <c r="O267" i="10" s="1"/>
  <c r="M267" i="10"/>
  <c r="P267" i="10" s="1"/>
  <c r="N267" i="10"/>
  <c r="O270" i="10"/>
  <c r="P270" i="10"/>
  <c r="L271" i="10"/>
  <c r="L269" i="10" s="1"/>
  <c r="O269" i="10" s="1"/>
  <c r="M271" i="10"/>
  <c r="M269" i="10" s="1"/>
  <c r="P269" i="10" s="1"/>
  <c r="N271" i="10"/>
  <c r="O273" i="10"/>
  <c r="P273" i="10"/>
  <c r="L274" i="10"/>
  <c r="L272" i="10" s="1"/>
  <c r="O272" i="10" s="1"/>
  <c r="M274" i="10"/>
  <c r="M272" i="10" s="1"/>
  <c r="P272" i="10" s="1"/>
  <c r="N274" i="10"/>
  <c r="N272" i="10" s="1"/>
  <c r="J281" i="10"/>
  <c r="L283" i="10"/>
  <c r="M283" i="10"/>
  <c r="P283" i="10" s="1"/>
  <c r="N283" i="10"/>
  <c r="O283" i="10"/>
  <c r="O286" i="10"/>
  <c r="P286" i="10"/>
  <c r="L287" i="10"/>
  <c r="M287" i="10"/>
  <c r="N287" i="10"/>
  <c r="N285" i="10" s="1"/>
  <c r="O289" i="10"/>
  <c r="P289" i="10"/>
  <c r="L290" i="10"/>
  <c r="O290" i="10" s="1"/>
  <c r="M290" i="10"/>
  <c r="M288" i="10" s="1"/>
  <c r="P288" i="10" s="1"/>
  <c r="N290" i="10"/>
  <c r="N288" i="10" s="1"/>
  <c r="I292" i="10"/>
  <c r="I281" i="10" s="1"/>
  <c r="K281" i="10" s="1"/>
  <c r="I293" i="10"/>
  <c r="J293" i="10"/>
  <c r="J280" i="10" s="1"/>
  <c r="I295" i="10"/>
  <c r="K295" i="10" s="1"/>
  <c r="I296" i="10"/>
  <c r="K296" i="10" s="1"/>
  <c r="J302" i="10"/>
  <c r="L304" i="10"/>
  <c r="M304" i="10"/>
  <c r="P304" i="10" s="1"/>
  <c r="N304" i="10"/>
  <c r="O307" i="10"/>
  <c r="P307" i="10"/>
  <c r="L308" i="10"/>
  <c r="L306" i="10" s="1"/>
  <c r="O306" i="10" s="1"/>
  <c r="M308" i="10"/>
  <c r="M306" i="10" s="1"/>
  <c r="P306" i="10" s="1"/>
  <c r="N308" i="10"/>
  <c r="N306" i="10" s="1"/>
  <c r="O310" i="10"/>
  <c r="P310" i="10"/>
  <c r="L311" i="10"/>
  <c r="L309" i="10" s="1"/>
  <c r="O309" i="10" s="1"/>
  <c r="M311" i="10"/>
  <c r="M309" i="10" s="1"/>
  <c r="P309" i="10" s="1"/>
  <c r="N311" i="10"/>
  <c r="I314" i="10"/>
  <c r="I302" i="10" s="1"/>
  <c r="K302" i="10" s="1"/>
  <c r="I315" i="10"/>
  <c r="K315" i="10" s="1"/>
  <c r="I316" i="10"/>
  <c r="K316" i="10" s="1"/>
  <c r="I317" i="10"/>
  <c r="K317" i="10" s="1"/>
  <c r="J319" i="10"/>
  <c r="L321" i="10"/>
  <c r="O321" i="10" s="1"/>
  <c r="M321" i="10"/>
  <c r="N321" i="10"/>
  <c r="P321" i="10"/>
  <c r="O324" i="10"/>
  <c r="P324" i="10"/>
  <c r="L325" i="10"/>
  <c r="O325" i="10" s="1"/>
  <c r="M325" i="10"/>
  <c r="P325" i="10" s="1"/>
  <c r="N325" i="10"/>
  <c r="O327" i="10"/>
  <c r="P327" i="10"/>
  <c r="L328" i="10"/>
  <c r="O328" i="10" s="1"/>
  <c r="M328" i="10"/>
  <c r="P328" i="10" s="1"/>
  <c r="N328" i="10"/>
  <c r="N326" i="10" s="1"/>
  <c r="I330" i="10"/>
  <c r="I319" i="10" s="1"/>
  <c r="K319" i="10" s="1"/>
  <c r="L334" i="10"/>
  <c r="M334" i="10"/>
  <c r="N334" i="10"/>
  <c r="P334" i="10"/>
  <c r="O337" i="10"/>
  <c r="P337" i="10"/>
  <c r="L338" i="10"/>
  <c r="L336" i="10" s="1"/>
  <c r="M338" i="10"/>
  <c r="N338" i="10"/>
  <c r="O340" i="10"/>
  <c r="P340" i="10"/>
  <c r="L341" i="10"/>
  <c r="L339" i="10" s="1"/>
  <c r="O339" i="10" s="1"/>
  <c r="M341" i="10"/>
  <c r="P341" i="10" s="1"/>
  <c r="N341" i="10"/>
  <c r="N339" i="10" s="1"/>
  <c r="I344" i="10"/>
  <c r="I332" i="10" s="1"/>
  <c r="J344" i="10"/>
  <c r="I346" i="10"/>
  <c r="J346" i="10"/>
  <c r="J347" i="10"/>
  <c r="J348" i="10"/>
  <c r="J349" i="10"/>
  <c r="D350" i="10"/>
  <c r="J352" i="10"/>
  <c r="J353" i="10"/>
  <c r="D354" i="10"/>
  <c r="L357" i="10"/>
  <c r="O357" i="10" s="1"/>
  <c r="M357" i="10"/>
  <c r="P357" i="10" s="1"/>
  <c r="N357" i="10"/>
  <c r="O360" i="10"/>
  <c r="P360" i="10"/>
  <c r="L361" i="10"/>
  <c r="L359" i="10" s="1"/>
  <c r="M361" i="10"/>
  <c r="N361" i="10"/>
  <c r="N359" i="10" s="1"/>
  <c r="O363" i="10"/>
  <c r="P363" i="10"/>
  <c r="L364" i="10"/>
  <c r="L362" i="10" s="1"/>
  <c r="O362" i="10" s="1"/>
  <c r="M364" i="10"/>
  <c r="P364" i="10" s="1"/>
  <c r="N364" i="10"/>
  <c r="N362" i="10" s="1"/>
  <c r="J367" i="10"/>
  <c r="K367" i="10"/>
  <c r="I368" i="10"/>
  <c r="J368" i="10"/>
  <c r="I369" i="10"/>
  <c r="J369" i="10"/>
  <c r="J370" i="10"/>
  <c r="K370" i="10"/>
  <c r="I371" i="10"/>
  <c r="I365" i="10" s="1"/>
  <c r="J371" i="10"/>
  <c r="J365" i="10" s="1"/>
  <c r="J372" i="10"/>
  <c r="K372" i="10"/>
  <c r="D373" i="10"/>
  <c r="I376" i="10"/>
  <c r="J376" i="10"/>
  <c r="K376" i="10"/>
  <c r="L378" i="10"/>
  <c r="O378" i="10" s="1"/>
  <c r="M378" i="10"/>
  <c r="N378" i="10"/>
  <c r="O381" i="10"/>
  <c r="P381" i="10"/>
  <c r="L382" i="10"/>
  <c r="O382" i="10" s="1"/>
  <c r="M382" i="10"/>
  <c r="P382" i="10" s="1"/>
  <c r="N382" i="10"/>
  <c r="O384" i="10"/>
  <c r="P384" i="10"/>
  <c r="L385" i="10"/>
  <c r="O385" i="10" s="1"/>
  <c r="M385" i="10"/>
  <c r="P385" i="10" s="1"/>
  <c r="N385" i="10"/>
  <c r="N383" i="10" s="1"/>
  <c r="K387" i="10"/>
  <c r="K388" i="10"/>
  <c r="A391" i="10"/>
  <c r="A3" i="9"/>
  <c r="L22" i="9"/>
  <c r="O22" i="9" s="1"/>
  <c r="M22" i="9"/>
  <c r="N22" i="9"/>
  <c r="L25" i="9"/>
  <c r="L19" i="9" s="1"/>
  <c r="M25" i="9"/>
  <c r="N25" i="9"/>
  <c r="P25" i="9"/>
  <c r="L45" i="9"/>
  <c r="M45" i="9"/>
  <c r="P45" i="9" s="1"/>
  <c r="N45" i="9"/>
  <c r="O45" i="9"/>
  <c r="O48" i="9"/>
  <c r="P48" i="9"/>
  <c r="L49" i="9"/>
  <c r="L47" i="9" s="1"/>
  <c r="M49" i="9"/>
  <c r="M47" i="9" s="1"/>
  <c r="N49" i="9"/>
  <c r="O51" i="9"/>
  <c r="P51" i="9"/>
  <c r="L52" i="9"/>
  <c r="L50" i="9" s="1"/>
  <c r="O50" i="9" s="1"/>
  <c r="M52" i="9"/>
  <c r="P52" i="9" s="1"/>
  <c r="N52" i="9"/>
  <c r="N50" i="9" s="1"/>
  <c r="L60" i="9"/>
  <c r="M60" i="9"/>
  <c r="P60" i="9" s="1"/>
  <c r="N60" i="9"/>
  <c r="O63" i="9"/>
  <c r="P63" i="9"/>
  <c r="L64" i="9"/>
  <c r="M64" i="9"/>
  <c r="M62" i="9" s="1"/>
  <c r="N64" i="9"/>
  <c r="O66" i="9"/>
  <c r="P66" i="9"/>
  <c r="L67" i="9"/>
  <c r="M67" i="9"/>
  <c r="P67" i="9" s="1"/>
  <c r="N67" i="9"/>
  <c r="N65" i="9" s="1"/>
  <c r="J70" i="9"/>
  <c r="L73" i="9"/>
  <c r="M73" i="9"/>
  <c r="N73" i="9"/>
  <c r="O73" i="9"/>
  <c r="P73" i="9"/>
  <c r="O76" i="9"/>
  <c r="P76" i="9"/>
  <c r="L77" i="9"/>
  <c r="L75" i="9" s="1"/>
  <c r="O75" i="9" s="1"/>
  <c r="M77" i="9"/>
  <c r="M75" i="9" s="1"/>
  <c r="P75" i="9" s="1"/>
  <c r="N77" i="9"/>
  <c r="N75" i="9" s="1"/>
  <c r="O79" i="9"/>
  <c r="P79" i="9"/>
  <c r="L80" i="9"/>
  <c r="L78" i="9" s="1"/>
  <c r="O78" i="9" s="1"/>
  <c r="M80" i="9"/>
  <c r="M78" i="9" s="1"/>
  <c r="P78" i="9" s="1"/>
  <c r="N80" i="9"/>
  <c r="N78" i="9" s="1"/>
  <c r="J82" i="9"/>
  <c r="J83" i="9"/>
  <c r="J71" i="9" s="1"/>
  <c r="I84" i="9"/>
  <c r="K84" i="9" s="1"/>
  <c r="I85" i="9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M95" i="9"/>
  <c r="P95" i="9" s="1"/>
  <c r="N95" i="9"/>
  <c r="O95" i="9"/>
  <c r="O98" i="9"/>
  <c r="P98" i="9"/>
  <c r="L99" i="9"/>
  <c r="L97" i="9" s="1"/>
  <c r="O97" i="9" s="1"/>
  <c r="M99" i="9"/>
  <c r="M97" i="9" s="1"/>
  <c r="P97" i="9" s="1"/>
  <c r="N99" i="9"/>
  <c r="N97" i="9" s="1"/>
  <c r="O101" i="9"/>
  <c r="P101" i="9"/>
  <c r="L102" i="9"/>
  <c r="O102" i="9" s="1"/>
  <c r="M102" i="9"/>
  <c r="M100" i="9" s="1"/>
  <c r="P100" i="9" s="1"/>
  <c r="N102" i="9"/>
  <c r="I108" i="9"/>
  <c r="I109" i="9"/>
  <c r="I93" i="9" s="1"/>
  <c r="K93" i="9" s="1"/>
  <c r="I117" i="9"/>
  <c r="K117" i="9" s="1"/>
  <c r="L126" i="9"/>
  <c r="O126" i="9" s="1"/>
  <c r="M126" i="9"/>
  <c r="N126" i="9"/>
  <c r="O129" i="9"/>
  <c r="P129" i="9"/>
  <c r="L130" i="9"/>
  <c r="O130" i="9" s="1"/>
  <c r="M130" i="9"/>
  <c r="N130" i="9"/>
  <c r="N128" i="9" s="1"/>
  <c r="O132" i="9"/>
  <c r="P132" i="9"/>
  <c r="L133" i="9"/>
  <c r="L131" i="9" s="1"/>
  <c r="O131" i="9" s="1"/>
  <c r="M133" i="9"/>
  <c r="N133" i="9"/>
  <c r="N131" i="9" s="1"/>
  <c r="J136" i="9"/>
  <c r="J137" i="9"/>
  <c r="J138" i="9"/>
  <c r="L140" i="9"/>
  <c r="O140" i="9" s="1"/>
  <c r="M140" i="9"/>
  <c r="N140" i="9"/>
  <c r="O143" i="9"/>
  <c r="P143" i="9"/>
  <c r="L144" i="9"/>
  <c r="M144" i="9"/>
  <c r="N144" i="9"/>
  <c r="N142" i="9" s="1"/>
  <c r="O146" i="9"/>
  <c r="P146" i="9"/>
  <c r="L147" i="9"/>
  <c r="L145" i="9" s="1"/>
  <c r="O145" i="9" s="1"/>
  <c r="M147" i="9"/>
  <c r="N147" i="9"/>
  <c r="N145" i="9" s="1"/>
  <c r="I150" i="9"/>
  <c r="K150" i="9" s="1"/>
  <c r="I151" i="9"/>
  <c r="K151" i="9" s="1"/>
  <c r="I152" i="9"/>
  <c r="I137" i="9" s="1"/>
  <c r="K137" i="9" s="1"/>
  <c r="I153" i="9"/>
  <c r="K153" i="9" s="1"/>
  <c r="I154" i="9"/>
  <c r="I136" i="9" s="1"/>
  <c r="K136" i="9" s="1"/>
  <c r="J156" i="9"/>
  <c r="L158" i="9"/>
  <c r="O158" i="9" s="1"/>
  <c r="M158" i="9"/>
  <c r="P158" i="9" s="1"/>
  <c r="N158" i="9"/>
  <c r="O161" i="9"/>
  <c r="P161" i="9"/>
  <c r="L162" i="9"/>
  <c r="L160" i="9" s="1"/>
  <c r="O160" i="9" s="1"/>
  <c r="M162" i="9"/>
  <c r="M160" i="9" s="1"/>
  <c r="P160" i="9" s="1"/>
  <c r="N162" i="9"/>
  <c r="O164" i="9"/>
  <c r="P164" i="9"/>
  <c r="L165" i="9"/>
  <c r="L163" i="9" s="1"/>
  <c r="O163" i="9" s="1"/>
  <c r="M165" i="9"/>
  <c r="M163" i="9" s="1"/>
  <c r="P163" i="9" s="1"/>
  <c r="N165" i="9"/>
  <c r="N163" i="9" s="1"/>
  <c r="I167" i="9"/>
  <c r="K167" i="9" s="1"/>
  <c r="I168" i="9"/>
  <c r="K168" i="9" s="1"/>
  <c r="I169" i="9"/>
  <c r="I156" i="9" s="1"/>
  <c r="K156" i="9" s="1"/>
  <c r="J172" i="9"/>
  <c r="L174" i="9"/>
  <c r="O174" i="9" s="1"/>
  <c r="M174" i="9"/>
  <c r="N174" i="9"/>
  <c r="P174" i="9"/>
  <c r="O177" i="9"/>
  <c r="P177" i="9"/>
  <c r="L178" i="9"/>
  <c r="L176" i="9" s="1"/>
  <c r="M178" i="9"/>
  <c r="M176" i="9" s="1"/>
  <c r="N178" i="9"/>
  <c r="N176" i="9" s="1"/>
  <c r="O180" i="9"/>
  <c r="P180" i="9"/>
  <c r="L181" i="9"/>
  <c r="L179" i="9" s="1"/>
  <c r="O179" i="9" s="1"/>
  <c r="M181" i="9"/>
  <c r="M179" i="9" s="1"/>
  <c r="P179" i="9" s="1"/>
  <c r="N181" i="9"/>
  <c r="N179" i="9" s="1"/>
  <c r="I183" i="9"/>
  <c r="I172" i="9" s="1"/>
  <c r="K184" i="9"/>
  <c r="L187" i="9"/>
  <c r="O187" i="9" s="1"/>
  <c r="M187" i="9"/>
  <c r="P187" i="9" s="1"/>
  <c r="N187" i="9"/>
  <c r="O190" i="9"/>
  <c r="P190" i="9"/>
  <c r="L191" i="9"/>
  <c r="L189" i="9" s="1"/>
  <c r="M191" i="9"/>
  <c r="M189" i="9" s="1"/>
  <c r="N191" i="9"/>
  <c r="N189" i="9" s="1"/>
  <c r="O193" i="9"/>
  <c r="P193" i="9"/>
  <c r="L194" i="9"/>
  <c r="L192" i="9" s="1"/>
  <c r="O192" i="9" s="1"/>
  <c r="M194" i="9"/>
  <c r="N194" i="9"/>
  <c r="N192" i="9" s="1"/>
  <c r="J195" i="9"/>
  <c r="L196" i="9"/>
  <c r="O196" i="9" s="1"/>
  <c r="P196" i="9"/>
  <c r="I198" i="9"/>
  <c r="I195" i="9" s="1"/>
  <c r="J199" i="9"/>
  <c r="J202" i="9"/>
  <c r="N203" i="9"/>
  <c r="P203" i="9"/>
  <c r="L204" i="9"/>
  <c r="L205" i="9"/>
  <c r="L206" i="9"/>
  <c r="L207" i="9"/>
  <c r="I209" i="9"/>
  <c r="I211" i="9"/>
  <c r="K211" i="9" s="1"/>
  <c r="I212" i="9"/>
  <c r="K212" i="9" s="1"/>
  <c r="J213" i="9"/>
  <c r="N214" i="9"/>
  <c r="P214" i="9"/>
  <c r="L215" i="9"/>
  <c r="L216" i="9"/>
  <c r="L217" i="9"/>
  <c r="I219" i="9"/>
  <c r="K219" i="9" s="1"/>
  <c r="I220" i="9"/>
  <c r="K220" i="9" s="1"/>
  <c r="J221" i="9"/>
  <c r="N222" i="9"/>
  <c r="P222" i="9"/>
  <c r="L223" i="9"/>
  <c r="L224" i="9"/>
  <c r="L225" i="9"/>
  <c r="I228" i="9"/>
  <c r="K228" i="9" s="1"/>
  <c r="I229" i="9"/>
  <c r="I221" i="9" s="1"/>
  <c r="K221" i="9" s="1"/>
  <c r="I230" i="9"/>
  <c r="K230" i="9" s="1"/>
  <c r="N233" i="9"/>
  <c r="N234" i="9"/>
  <c r="N235" i="9"/>
  <c r="N236" i="9"/>
  <c r="J238" i="9"/>
  <c r="I240" i="9"/>
  <c r="J240" i="9"/>
  <c r="K240" i="9"/>
  <c r="I241" i="9"/>
  <c r="K241" i="9" s="1"/>
  <c r="J241" i="9"/>
  <c r="J242" i="9"/>
  <c r="N243" i="9"/>
  <c r="P243" i="9"/>
  <c r="L244" i="9"/>
  <c r="L245" i="9"/>
  <c r="L246" i="9"/>
  <c r="L247" i="9"/>
  <c r="I249" i="9"/>
  <c r="K251" i="9"/>
  <c r="K252" i="9"/>
  <c r="J253" i="9"/>
  <c r="N254" i="9"/>
  <c r="P254" i="9"/>
  <c r="L255" i="9"/>
  <c r="L256" i="9"/>
  <c r="L257" i="9"/>
  <c r="L258" i="9"/>
  <c r="I260" i="9"/>
  <c r="K262" i="9"/>
  <c r="K263" i="9"/>
  <c r="I265" i="9"/>
  <c r="J265" i="9"/>
  <c r="K265" i="9"/>
  <c r="L267" i="9"/>
  <c r="O267" i="9" s="1"/>
  <c r="M267" i="9"/>
  <c r="P267" i="9" s="1"/>
  <c r="N267" i="9"/>
  <c r="O270" i="9"/>
  <c r="P270" i="9"/>
  <c r="L271" i="9"/>
  <c r="L269" i="9" s="1"/>
  <c r="O269" i="9" s="1"/>
  <c r="M271" i="9"/>
  <c r="M269" i="9" s="1"/>
  <c r="P269" i="9" s="1"/>
  <c r="N271" i="9"/>
  <c r="O273" i="9"/>
  <c r="P273" i="9"/>
  <c r="L274" i="9"/>
  <c r="L272" i="9" s="1"/>
  <c r="O272" i="9" s="1"/>
  <c r="M274" i="9"/>
  <c r="P274" i="9" s="1"/>
  <c r="N274" i="9"/>
  <c r="N272" i="9" s="1"/>
  <c r="J281" i="9"/>
  <c r="L283" i="9"/>
  <c r="M283" i="9"/>
  <c r="N283" i="9"/>
  <c r="O283" i="9"/>
  <c r="P283" i="9"/>
  <c r="O286" i="9"/>
  <c r="P286" i="9"/>
  <c r="L287" i="9"/>
  <c r="L285" i="9" s="1"/>
  <c r="M287" i="9"/>
  <c r="M285" i="9" s="1"/>
  <c r="N287" i="9"/>
  <c r="N285" i="9" s="1"/>
  <c r="O289" i="9"/>
  <c r="P289" i="9"/>
  <c r="L290" i="9"/>
  <c r="L288" i="9" s="1"/>
  <c r="O288" i="9" s="1"/>
  <c r="M290" i="9"/>
  <c r="M288" i="9" s="1"/>
  <c r="P288" i="9" s="1"/>
  <c r="N290" i="9"/>
  <c r="N288" i="9" s="1"/>
  <c r="I292" i="9"/>
  <c r="I281" i="9" s="1"/>
  <c r="I293" i="9"/>
  <c r="I280" i="9" s="1"/>
  <c r="J293" i="9"/>
  <c r="I295" i="9"/>
  <c r="K295" i="9" s="1"/>
  <c r="I296" i="9"/>
  <c r="K296" i="9" s="1"/>
  <c r="J302" i="9"/>
  <c r="L304" i="9"/>
  <c r="M304" i="9"/>
  <c r="P304" i="9" s="1"/>
  <c r="N304" i="9"/>
  <c r="O307" i="9"/>
  <c r="P307" i="9"/>
  <c r="L308" i="9"/>
  <c r="L306" i="9" s="1"/>
  <c r="O306" i="9" s="1"/>
  <c r="M308" i="9"/>
  <c r="N308" i="9"/>
  <c r="N306" i="9" s="1"/>
  <c r="O310" i="9"/>
  <c r="P310" i="9"/>
  <c r="L311" i="9"/>
  <c r="L309" i="9" s="1"/>
  <c r="O309" i="9" s="1"/>
  <c r="M311" i="9"/>
  <c r="M309" i="9" s="1"/>
  <c r="P309" i="9" s="1"/>
  <c r="N311" i="9"/>
  <c r="I314" i="9"/>
  <c r="I302" i="9" s="1"/>
  <c r="K302" i="9" s="1"/>
  <c r="I315" i="9"/>
  <c r="K315" i="9" s="1"/>
  <c r="I316" i="9"/>
  <c r="K316" i="9" s="1"/>
  <c r="I317" i="9"/>
  <c r="K317" i="9" s="1"/>
  <c r="J319" i="9"/>
  <c r="L321" i="9"/>
  <c r="M321" i="9"/>
  <c r="P321" i="9" s="1"/>
  <c r="N321" i="9"/>
  <c r="O324" i="9"/>
  <c r="P324" i="9"/>
  <c r="L325" i="9"/>
  <c r="O325" i="9" s="1"/>
  <c r="M325" i="9"/>
  <c r="M323" i="9" s="1"/>
  <c r="P323" i="9" s="1"/>
  <c r="N325" i="9"/>
  <c r="N323" i="9" s="1"/>
  <c r="O327" i="9"/>
  <c r="P327" i="9"/>
  <c r="L328" i="9"/>
  <c r="O328" i="9" s="1"/>
  <c r="M328" i="9"/>
  <c r="M326" i="9" s="1"/>
  <c r="P326" i="9" s="1"/>
  <c r="N328" i="9"/>
  <c r="I330" i="9"/>
  <c r="I319" i="9" s="1"/>
  <c r="K319" i="9" s="1"/>
  <c r="L334" i="9"/>
  <c r="O334" i="9" s="1"/>
  <c r="M334" i="9"/>
  <c r="P334" i="9" s="1"/>
  <c r="N334" i="9"/>
  <c r="O337" i="9"/>
  <c r="P337" i="9"/>
  <c r="L338" i="9"/>
  <c r="L336" i="9" s="1"/>
  <c r="M338" i="9"/>
  <c r="N338" i="9"/>
  <c r="N336" i="9" s="1"/>
  <c r="O340" i="9"/>
  <c r="P340" i="9"/>
  <c r="L341" i="9"/>
  <c r="L339" i="9" s="1"/>
  <c r="O339" i="9" s="1"/>
  <c r="M341" i="9"/>
  <c r="P341" i="9" s="1"/>
  <c r="N341" i="9"/>
  <c r="N339" i="9" s="1"/>
  <c r="I344" i="9"/>
  <c r="I332" i="9" s="1"/>
  <c r="J344" i="9"/>
  <c r="I346" i="9"/>
  <c r="J346" i="9"/>
  <c r="J347" i="9"/>
  <c r="J348" i="9"/>
  <c r="J349" i="9"/>
  <c r="D350" i="9"/>
  <c r="J352" i="9"/>
  <c r="J353" i="9"/>
  <c r="D354" i="9"/>
  <c r="L357" i="9"/>
  <c r="O357" i="9" s="1"/>
  <c r="M357" i="9"/>
  <c r="N357" i="9"/>
  <c r="O360" i="9"/>
  <c r="P360" i="9"/>
  <c r="L361" i="9"/>
  <c r="L359" i="9" s="1"/>
  <c r="M361" i="9"/>
  <c r="M359" i="9" s="1"/>
  <c r="N361" i="9"/>
  <c r="N359" i="9" s="1"/>
  <c r="O363" i="9"/>
  <c r="P363" i="9"/>
  <c r="L364" i="9"/>
  <c r="L362" i="9" s="1"/>
  <c r="O362" i="9" s="1"/>
  <c r="M364" i="9"/>
  <c r="M362" i="9" s="1"/>
  <c r="P362" i="9" s="1"/>
  <c r="N364" i="9"/>
  <c r="N362" i="9" s="1"/>
  <c r="J367" i="9"/>
  <c r="K367" i="9"/>
  <c r="I368" i="9"/>
  <c r="J368" i="9"/>
  <c r="I369" i="9"/>
  <c r="J369" i="9"/>
  <c r="J370" i="9"/>
  <c r="K370" i="9"/>
  <c r="I371" i="9"/>
  <c r="I365" i="9" s="1"/>
  <c r="J371" i="9"/>
  <c r="J365" i="9" s="1"/>
  <c r="J372" i="9"/>
  <c r="K372" i="9"/>
  <c r="D373" i="9"/>
  <c r="I376" i="9"/>
  <c r="K376" i="9" s="1"/>
  <c r="J376" i="9"/>
  <c r="L378" i="9"/>
  <c r="M378" i="9"/>
  <c r="N378" i="9"/>
  <c r="O378" i="9"/>
  <c r="O381" i="9"/>
  <c r="P381" i="9"/>
  <c r="L382" i="9"/>
  <c r="L380" i="9" s="1"/>
  <c r="O380" i="9" s="1"/>
  <c r="M382" i="9"/>
  <c r="M380" i="9" s="1"/>
  <c r="P380" i="9" s="1"/>
  <c r="N382" i="9"/>
  <c r="O384" i="9"/>
  <c r="P384" i="9"/>
  <c r="L385" i="9"/>
  <c r="L383" i="9" s="1"/>
  <c r="O383" i="9" s="1"/>
  <c r="M385" i="9"/>
  <c r="M383" i="9" s="1"/>
  <c r="P383" i="9" s="1"/>
  <c r="N385" i="9"/>
  <c r="N383" i="9" s="1"/>
  <c r="K387" i="9"/>
  <c r="K388" i="9"/>
  <c r="A391" i="9"/>
  <c r="A3" i="8"/>
  <c r="L22" i="8"/>
  <c r="M22" i="8"/>
  <c r="P22" i="8" s="1"/>
  <c r="N22" i="8"/>
  <c r="L25" i="8"/>
  <c r="O25" i="8" s="1"/>
  <c r="M25" i="8"/>
  <c r="N25" i="8"/>
  <c r="L45" i="8"/>
  <c r="M45" i="8"/>
  <c r="N45" i="8"/>
  <c r="O45" i="8"/>
  <c r="O48" i="8"/>
  <c r="P48" i="8"/>
  <c r="L49" i="8"/>
  <c r="L47" i="8" s="1"/>
  <c r="M49" i="8"/>
  <c r="M47" i="8" s="1"/>
  <c r="N49" i="8"/>
  <c r="O51" i="8"/>
  <c r="P51" i="8"/>
  <c r="L52" i="8"/>
  <c r="L50" i="8" s="1"/>
  <c r="O50" i="8" s="1"/>
  <c r="M52" i="8"/>
  <c r="P52" i="8" s="1"/>
  <c r="N52" i="8"/>
  <c r="L60" i="8"/>
  <c r="M60" i="8"/>
  <c r="P60" i="8" s="1"/>
  <c r="N60" i="8"/>
  <c r="O63" i="8"/>
  <c r="P63" i="8"/>
  <c r="L64" i="8"/>
  <c r="L62" i="8" s="1"/>
  <c r="M64" i="8"/>
  <c r="N64" i="8"/>
  <c r="O66" i="8"/>
  <c r="P66" i="8"/>
  <c r="L67" i="8"/>
  <c r="L65" i="8" s="1"/>
  <c r="O65" i="8" s="1"/>
  <c r="M67" i="8"/>
  <c r="N67" i="8"/>
  <c r="N65" i="8" s="1"/>
  <c r="L73" i="8"/>
  <c r="M73" i="8"/>
  <c r="N73" i="8"/>
  <c r="O73" i="8"/>
  <c r="O76" i="8"/>
  <c r="P76" i="8"/>
  <c r="L77" i="8"/>
  <c r="L75" i="8" s="1"/>
  <c r="M77" i="8"/>
  <c r="M75" i="8" s="1"/>
  <c r="N77" i="8"/>
  <c r="N75" i="8" s="1"/>
  <c r="O79" i="8"/>
  <c r="P79" i="8"/>
  <c r="L80" i="8"/>
  <c r="L78" i="8" s="1"/>
  <c r="O78" i="8" s="1"/>
  <c r="M80" i="8"/>
  <c r="M78" i="8" s="1"/>
  <c r="P78" i="8" s="1"/>
  <c r="N80" i="8"/>
  <c r="N78" i="8" s="1"/>
  <c r="J82" i="8"/>
  <c r="J70" i="8" s="1"/>
  <c r="J83" i="8"/>
  <c r="J71" i="8" s="1"/>
  <c r="I84" i="8"/>
  <c r="K84" i="8" s="1"/>
  <c r="I85" i="8"/>
  <c r="K85" i="8" s="1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M95" i="8"/>
  <c r="P95" i="8" s="1"/>
  <c r="N95" i="8"/>
  <c r="O98" i="8"/>
  <c r="P98" i="8"/>
  <c r="L99" i="8"/>
  <c r="L97" i="8" s="1"/>
  <c r="O97" i="8" s="1"/>
  <c r="M99" i="8"/>
  <c r="M97" i="8" s="1"/>
  <c r="P97" i="8" s="1"/>
  <c r="N99" i="8"/>
  <c r="N97" i="8" s="1"/>
  <c r="O101" i="8"/>
  <c r="P101" i="8"/>
  <c r="L102" i="8"/>
  <c r="L100" i="8" s="1"/>
  <c r="O100" i="8" s="1"/>
  <c r="M102" i="8"/>
  <c r="M100" i="8" s="1"/>
  <c r="P100" i="8" s="1"/>
  <c r="N102" i="8"/>
  <c r="N100" i="8" s="1"/>
  <c r="I108" i="8"/>
  <c r="I109" i="8"/>
  <c r="K109" i="8" s="1"/>
  <c r="I117" i="8"/>
  <c r="K117" i="8" s="1"/>
  <c r="L126" i="8"/>
  <c r="O126" i="8" s="1"/>
  <c r="M126" i="8"/>
  <c r="N126" i="8"/>
  <c r="O129" i="8"/>
  <c r="P129" i="8"/>
  <c r="L130" i="8"/>
  <c r="M130" i="8"/>
  <c r="N130" i="8"/>
  <c r="N128" i="8" s="1"/>
  <c r="O132" i="8"/>
  <c r="P132" i="8"/>
  <c r="L133" i="8"/>
  <c r="M133" i="8"/>
  <c r="M131" i="8" s="1"/>
  <c r="P131" i="8" s="1"/>
  <c r="N133" i="8"/>
  <c r="N131" i="8" s="1"/>
  <c r="J136" i="8"/>
  <c r="J137" i="8"/>
  <c r="J138" i="8"/>
  <c r="L140" i="8"/>
  <c r="M140" i="8"/>
  <c r="P140" i="8" s="1"/>
  <c r="N140" i="8"/>
  <c r="O143" i="8"/>
  <c r="P143" i="8"/>
  <c r="L144" i="8"/>
  <c r="L142" i="8" s="1"/>
  <c r="M144" i="8"/>
  <c r="N144" i="8"/>
  <c r="N142" i="8" s="1"/>
  <c r="O146" i="8"/>
  <c r="P146" i="8"/>
  <c r="L147" i="8"/>
  <c r="O147" i="8" s="1"/>
  <c r="M147" i="8"/>
  <c r="M145" i="8" s="1"/>
  <c r="P145" i="8" s="1"/>
  <c r="N147" i="8"/>
  <c r="N145" i="8" s="1"/>
  <c r="I150" i="8"/>
  <c r="K150" i="8" s="1"/>
  <c r="I151" i="8"/>
  <c r="K151" i="8" s="1"/>
  <c r="I152" i="8"/>
  <c r="I137" i="8" s="1"/>
  <c r="K137" i="8" s="1"/>
  <c r="I153" i="8"/>
  <c r="I138" i="8" s="1"/>
  <c r="K138" i="8" s="1"/>
  <c r="I154" i="8"/>
  <c r="I136" i="8" s="1"/>
  <c r="J156" i="8"/>
  <c r="L158" i="8"/>
  <c r="M158" i="8"/>
  <c r="N158" i="8"/>
  <c r="O158" i="8"/>
  <c r="O161" i="8"/>
  <c r="P161" i="8"/>
  <c r="L162" i="8"/>
  <c r="M162" i="8"/>
  <c r="M160" i="8" s="1"/>
  <c r="P160" i="8" s="1"/>
  <c r="N162" i="8"/>
  <c r="N160" i="8" s="1"/>
  <c r="O164" i="8"/>
  <c r="P164" i="8"/>
  <c r="L165" i="8"/>
  <c r="M165" i="8"/>
  <c r="M163" i="8" s="1"/>
  <c r="P163" i="8" s="1"/>
  <c r="N165" i="8"/>
  <c r="N163" i="8" s="1"/>
  <c r="I167" i="8"/>
  <c r="K167" i="8" s="1"/>
  <c r="J172" i="8"/>
  <c r="L174" i="8"/>
  <c r="O174" i="8" s="1"/>
  <c r="M174" i="8"/>
  <c r="P174" i="8" s="1"/>
  <c r="N174" i="8"/>
  <c r="O177" i="8"/>
  <c r="P177" i="8"/>
  <c r="L178" i="8"/>
  <c r="M178" i="8"/>
  <c r="N178" i="8"/>
  <c r="O180" i="8"/>
  <c r="P180" i="8"/>
  <c r="L181" i="8"/>
  <c r="O181" i="8" s="1"/>
  <c r="M181" i="8"/>
  <c r="M179" i="8" s="1"/>
  <c r="P179" i="8" s="1"/>
  <c r="N181" i="8"/>
  <c r="N179" i="8" s="1"/>
  <c r="I183" i="8"/>
  <c r="K183" i="8" s="1"/>
  <c r="K184" i="8"/>
  <c r="L187" i="8"/>
  <c r="M187" i="8"/>
  <c r="N187" i="8"/>
  <c r="O187" i="8"/>
  <c r="P187" i="8"/>
  <c r="O190" i="8"/>
  <c r="P190" i="8"/>
  <c r="L191" i="8"/>
  <c r="L189" i="8" s="1"/>
  <c r="M191" i="8"/>
  <c r="M189" i="8" s="1"/>
  <c r="N191" i="8"/>
  <c r="N189" i="8" s="1"/>
  <c r="O193" i="8"/>
  <c r="P193" i="8"/>
  <c r="L194" i="8"/>
  <c r="O194" i="8" s="1"/>
  <c r="M194" i="8"/>
  <c r="M192" i="8" s="1"/>
  <c r="P192" i="8" s="1"/>
  <c r="N194" i="8"/>
  <c r="N192" i="8" s="1"/>
  <c r="J195" i="8"/>
  <c r="L196" i="8"/>
  <c r="O196" i="8" s="1"/>
  <c r="P196" i="8"/>
  <c r="I198" i="8"/>
  <c r="K198" i="8" s="1"/>
  <c r="J199" i="8"/>
  <c r="J202" i="8"/>
  <c r="N203" i="8"/>
  <c r="P203" i="8"/>
  <c r="L204" i="8"/>
  <c r="L205" i="8"/>
  <c r="L206" i="8"/>
  <c r="L207" i="8"/>
  <c r="I209" i="8"/>
  <c r="I202" i="8" s="1"/>
  <c r="K202" i="8" s="1"/>
  <c r="I211" i="8"/>
  <c r="K211" i="8" s="1"/>
  <c r="I212" i="8"/>
  <c r="K212" i="8" s="1"/>
  <c r="J213" i="8"/>
  <c r="N214" i="8"/>
  <c r="P214" i="8"/>
  <c r="L215" i="8"/>
  <c r="L216" i="8"/>
  <c r="L217" i="8"/>
  <c r="I219" i="8"/>
  <c r="K219" i="8" s="1"/>
  <c r="I220" i="8"/>
  <c r="I213" i="8" s="1"/>
  <c r="K213" i="8" s="1"/>
  <c r="J221" i="8"/>
  <c r="N222" i="8"/>
  <c r="P222" i="8"/>
  <c r="L223" i="8"/>
  <c r="L224" i="8"/>
  <c r="L225" i="8"/>
  <c r="I228" i="8"/>
  <c r="K228" i="8" s="1"/>
  <c r="I229" i="8"/>
  <c r="I221" i="8" s="1"/>
  <c r="I230" i="8"/>
  <c r="K230" i="8" s="1"/>
  <c r="N233" i="8"/>
  <c r="N234" i="8"/>
  <c r="N235" i="8"/>
  <c r="N236" i="8"/>
  <c r="J238" i="8"/>
  <c r="J240" i="8"/>
  <c r="J241" i="8"/>
  <c r="J242" i="8"/>
  <c r="N243" i="8"/>
  <c r="N232" i="8" s="1"/>
  <c r="P243" i="8"/>
  <c r="L244" i="8"/>
  <c r="L245" i="8"/>
  <c r="L246" i="8"/>
  <c r="L247" i="8"/>
  <c r="I249" i="8"/>
  <c r="K249" i="8" s="1"/>
  <c r="I251" i="8"/>
  <c r="I240" i="8" s="1"/>
  <c r="K240" i="8" s="1"/>
  <c r="I252" i="8"/>
  <c r="I241" i="8" s="1"/>
  <c r="J253" i="8"/>
  <c r="J231" i="8" s="1"/>
  <c r="J185" i="8" s="1"/>
  <c r="N254" i="8"/>
  <c r="P254" i="8"/>
  <c r="L255" i="8"/>
  <c r="L256" i="8"/>
  <c r="L257" i="8"/>
  <c r="L258" i="8"/>
  <c r="I260" i="8"/>
  <c r="I253" i="8" s="1"/>
  <c r="K262" i="8"/>
  <c r="K263" i="8"/>
  <c r="I265" i="8"/>
  <c r="K265" i="8" s="1"/>
  <c r="J265" i="8"/>
  <c r="L267" i="8"/>
  <c r="O267" i="8" s="1"/>
  <c r="M267" i="8"/>
  <c r="N267" i="8"/>
  <c r="O270" i="8"/>
  <c r="P270" i="8"/>
  <c r="L271" i="8"/>
  <c r="O271" i="8" s="1"/>
  <c r="M271" i="8"/>
  <c r="P271" i="8" s="1"/>
  <c r="N271" i="8"/>
  <c r="N269" i="8" s="1"/>
  <c r="O273" i="8"/>
  <c r="P273" i="8"/>
  <c r="L274" i="8"/>
  <c r="M274" i="8"/>
  <c r="P274" i="8" s="1"/>
  <c r="N274" i="8"/>
  <c r="N272" i="8" s="1"/>
  <c r="J281" i="8"/>
  <c r="L283" i="8"/>
  <c r="O283" i="8" s="1"/>
  <c r="M283" i="8"/>
  <c r="P283" i="8" s="1"/>
  <c r="N283" i="8"/>
  <c r="O286" i="8"/>
  <c r="P286" i="8"/>
  <c r="L287" i="8"/>
  <c r="M287" i="8"/>
  <c r="M285" i="8" s="1"/>
  <c r="N287" i="8"/>
  <c r="N285" i="8" s="1"/>
  <c r="O289" i="8"/>
  <c r="P289" i="8"/>
  <c r="L290" i="8"/>
  <c r="L288" i="8" s="1"/>
  <c r="O288" i="8" s="1"/>
  <c r="M290" i="8"/>
  <c r="M288" i="8" s="1"/>
  <c r="P288" i="8" s="1"/>
  <c r="N290" i="8"/>
  <c r="N288" i="8" s="1"/>
  <c r="I292" i="8"/>
  <c r="I281" i="8" s="1"/>
  <c r="I293" i="8"/>
  <c r="I280" i="8" s="1"/>
  <c r="J293" i="8"/>
  <c r="I295" i="8"/>
  <c r="K295" i="8" s="1"/>
  <c r="I296" i="8"/>
  <c r="K296" i="8" s="1"/>
  <c r="J302" i="8"/>
  <c r="L304" i="8"/>
  <c r="O304" i="8" s="1"/>
  <c r="M304" i="8"/>
  <c r="P304" i="8" s="1"/>
  <c r="N304" i="8"/>
  <c r="O307" i="8"/>
  <c r="P307" i="8"/>
  <c r="L308" i="8"/>
  <c r="L306" i="8" s="1"/>
  <c r="M308" i="8"/>
  <c r="M306" i="8" s="1"/>
  <c r="N308" i="8"/>
  <c r="N306" i="8" s="1"/>
  <c r="O310" i="8"/>
  <c r="P310" i="8"/>
  <c r="L311" i="8"/>
  <c r="L309" i="8" s="1"/>
  <c r="O309" i="8" s="1"/>
  <c r="M311" i="8"/>
  <c r="P311" i="8" s="1"/>
  <c r="N311" i="8"/>
  <c r="N309" i="8" s="1"/>
  <c r="I314" i="8"/>
  <c r="K314" i="8" s="1"/>
  <c r="I315" i="8"/>
  <c r="K315" i="8" s="1"/>
  <c r="I316" i="8"/>
  <c r="K316" i="8" s="1"/>
  <c r="I317" i="8"/>
  <c r="K317" i="8" s="1"/>
  <c r="J319" i="8"/>
  <c r="L321" i="8"/>
  <c r="O321" i="8" s="1"/>
  <c r="M321" i="8"/>
  <c r="P321" i="8" s="1"/>
  <c r="N321" i="8"/>
  <c r="O324" i="8"/>
  <c r="P324" i="8"/>
  <c r="L325" i="8"/>
  <c r="O325" i="8" s="1"/>
  <c r="M325" i="8"/>
  <c r="N325" i="8"/>
  <c r="O327" i="8"/>
  <c r="P327" i="8"/>
  <c r="L328" i="8"/>
  <c r="L326" i="8" s="1"/>
  <c r="O326" i="8" s="1"/>
  <c r="M328" i="8"/>
  <c r="P328" i="8" s="1"/>
  <c r="N328" i="8"/>
  <c r="N326" i="8" s="1"/>
  <c r="I330" i="8"/>
  <c r="I319" i="8" s="1"/>
  <c r="K319" i="8" s="1"/>
  <c r="L334" i="8"/>
  <c r="O334" i="8" s="1"/>
  <c r="M334" i="8"/>
  <c r="N334" i="8"/>
  <c r="P334" i="8"/>
  <c r="O337" i="8"/>
  <c r="P337" i="8"/>
  <c r="L338" i="8"/>
  <c r="L336" i="8" s="1"/>
  <c r="M338" i="8"/>
  <c r="M336" i="8" s="1"/>
  <c r="N338" i="8"/>
  <c r="N336" i="8" s="1"/>
  <c r="O340" i="8"/>
  <c r="P340" i="8"/>
  <c r="L341" i="8"/>
  <c r="O341" i="8" s="1"/>
  <c r="M341" i="8"/>
  <c r="M339" i="8" s="1"/>
  <c r="P339" i="8" s="1"/>
  <c r="N341" i="8"/>
  <c r="N339" i="8" s="1"/>
  <c r="I344" i="8"/>
  <c r="I332" i="8" s="1"/>
  <c r="J344" i="8"/>
  <c r="I346" i="8"/>
  <c r="J346" i="8"/>
  <c r="J347" i="8"/>
  <c r="J348" i="8"/>
  <c r="J349" i="8"/>
  <c r="D350" i="8"/>
  <c r="J352" i="8"/>
  <c r="J353" i="8"/>
  <c r="D354" i="8"/>
  <c r="L357" i="8"/>
  <c r="M357" i="8"/>
  <c r="N357" i="8"/>
  <c r="P357" i="8"/>
  <c r="O360" i="8"/>
  <c r="P360" i="8"/>
  <c r="L361" i="8"/>
  <c r="M361" i="8"/>
  <c r="M359" i="8" s="1"/>
  <c r="N361" i="8"/>
  <c r="N359" i="8" s="1"/>
  <c r="O363" i="8"/>
  <c r="P363" i="8"/>
  <c r="L364" i="8"/>
  <c r="O364" i="8" s="1"/>
  <c r="M364" i="8"/>
  <c r="M362" i="8" s="1"/>
  <c r="P362" i="8" s="1"/>
  <c r="N364" i="8"/>
  <c r="N362" i="8" s="1"/>
  <c r="J367" i="8"/>
  <c r="K367" i="8"/>
  <c r="I368" i="8"/>
  <c r="J368" i="8"/>
  <c r="I369" i="8"/>
  <c r="J369" i="8"/>
  <c r="J370" i="8"/>
  <c r="K370" i="8"/>
  <c r="I371" i="8"/>
  <c r="I365" i="8" s="1"/>
  <c r="J371" i="8"/>
  <c r="J365" i="8" s="1"/>
  <c r="J372" i="8"/>
  <c r="K372" i="8"/>
  <c r="D373" i="8"/>
  <c r="I376" i="8"/>
  <c r="K376" i="8" s="1"/>
  <c r="J376" i="8"/>
  <c r="L378" i="8"/>
  <c r="M378" i="8"/>
  <c r="N378" i="8"/>
  <c r="O378" i="8"/>
  <c r="P378" i="8"/>
  <c r="O381" i="8"/>
  <c r="P381" i="8"/>
  <c r="L382" i="8"/>
  <c r="L380" i="8" s="1"/>
  <c r="O380" i="8" s="1"/>
  <c r="M382" i="8"/>
  <c r="M380" i="8" s="1"/>
  <c r="P380" i="8" s="1"/>
  <c r="N382" i="8"/>
  <c r="O384" i="8"/>
  <c r="P384" i="8"/>
  <c r="L385" i="8"/>
  <c r="L383" i="8" s="1"/>
  <c r="O383" i="8" s="1"/>
  <c r="M385" i="8"/>
  <c r="M383" i="8" s="1"/>
  <c r="P383" i="8" s="1"/>
  <c r="N385" i="8"/>
  <c r="N383" i="8" s="1"/>
  <c r="K387" i="8"/>
  <c r="K388" i="8"/>
  <c r="A391" i="8"/>
  <c r="A3" i="7"/>
  <c r="L22" i="7"/>
  <c r="M22" i="7"/>
  <c r="P22" i="7" s="1"/>
  <c r="N22" i="7"/>
  <c r="L25" i="7"/>
  <c r="O25" i="7" s="1"/>
  <c r="M25" i="7"/>
  <c r="M19" i="7" s="1"/>
  <c r="P19" i="7" s="1"/>
  <c r="N25" i="7"/>
  <c r="L45" i="7"/>
  <c r="M45" i="7"/>
  <c r="P45" i="7" s="1"/>
  <c r="N45" i="7"/>
  <c r="O45" i="7"/>
  <c r="O48" i="7"/>
  <c r="P48" i="7"/>
  <c r="L49" i="7"/>
  <c r="L47" i="7" s="1"/>
  <c r="M49" i="7"/>
  <c r="N49" i="7"/>
  <c r="N47" i="7" s="1"/>
  <c r="O51" i="7"/>
  <c r="P51" i="7"/>
  <c r="L52" i="7"/>
  <c r="L50" i="7" s="1"/>
  <c r="O50" i="7" s="1"/>
  <c r="M52" i="7"/>
  <c r="P52" i="7" s="1"/>
  <c r="N52" i="7"/>
  <c r="N50" i="7" s="1"/>
  <c r="L60" i="7"/>
  <c r="M60" i="7"/>
  <c r="N60" i="7"/>
  <c r="P60" i="7"/>
  <c r="O63" i="7"/>
  <c r="P63" i="7"/>
  <c r="L64" i="7"/>
  <c r="M64" i="7"/>
  <c r="M62" i="7" s="1"/>
  <c r="N64" i="7"/>
  <c r="O66" i="7"/>
  <c r="P66" i="7"/>
  <c r="L67" i="7"/>
  <c r="L65" i="7" s="1"/>
  <c r="O65" i="7" s="1"/>
  <c r="M67" i="7"/>
  <c r="M65" i="7" s="1"/>
  <c r="P65" i="7" s="1"/>
  <c r="N67" i="7"/>
  <c r="N65" i="7" s="1"/>
  <c r="L73" i="7"/>
  <c r="O73" i="7" s="1"/>
  <c r="M73" i="7"/>
  <c r="P73" i="7" s="1"/>
  <c r="N73" i="7"/>
  <c r="O76" i="7"/>
  <c r="P76" i="7"/>
  <c r="L77" i="7"/>
  <c r="L75" i="7" s="1"/>
  <c r="O75" i="7" s="1"/>
  <c r="M77" i="7"/>
  <c r="M75" i="7" s="1"/>
  <c r="P75" i="7" s="1"/>
  <c r="N77" i="7"/>
  <c r="N75" i="7" s="1"/>
  <c r="O79" i="7"/>
  <c r="P79" i="7"/>
  <c r="L80" i="7"/>
  <c r="L78" i="7" s="1"/>
  <c r="O78" i="7" s="1"/>
  <c r="M80" i="7"/>
  <c r="M78" i="7" s="1"/>
  <c r="P78" i="7" s="1"/>
  <c r="N80" i="7"/>
  <c r="N78" i="7" s="1"/>
  <c r="J82" i="7"/>
  <c r="J70" i="7" s="1"/>
  <c r="J83" i="7"/>
  <c r="J71" i="7" s="1"/>
  <c r="I84" i="7"/>
  <c r="K84" i="7" s="1"/>
  <c r="I85" i="7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O95" i="7" s="1"/>
  <c r="M95" i="7"/>
  <c r="N95" i="7"/>
  <c r="O98" i="7"/>
  <c r="P98" i="7"/>
  <c r="L99" i="7"/>
  <c r="M99" i="7"/>
  <c r="M97" i="7" s="1"/>
  <c r="P97" i="7" s="1"/>
  <c r="N99" i="7"/>
  <c r="N97" i="7" s="1"/>
  <c r="O101" i="7"/>
  <c r="P101" i="7"/>
  <c r="L102" i="7"/>
  <c r="L100" i="7" s="1"/>
  <c r="O100" i="7" s="1"/>
  <c r="M102" i="7"/>
  <c r="M100" i="7" s="1"/>
  <c r="P100" i="7" s="1"/>
  <c r="N102" i="7"/>
  <c r="N100" i="7" s="1"/>
  <c r="I108" i="7"/>
  <c r="K108" i="7" s="1"/>
  <c r="I109" i="7"/>
  <c r="I93" i="7" s="1"/>
  <c r="K93" i="7" s="1"/>
  <c r="I117" i="7"/>
  <c r="K117" i="7" s="1"/>
  <c r="L126" i="7"/>
  <c r="O126" i="7" s="1"/>
  <c r="M126" i="7"/>
  <c r="P126" i="7" s="1"/>
  <c r="N126" i="7"/>
  <c r="O129" i="7"/>
  <c r="P129" i="7"/>
  <c r="L130" i="7"/>
  <c r="O130" i="7" s="1"/>
  <c r="M130" i="7"/>
  <c r="N130" i="7"/>
  <c r="N128" i="7" s="1"/>
  <c r="O132" i="7"/>
  <c r="P132" i="7"/>
  <c r="L133" i="7"/>
  <c r="O133" i="7" s="1"/>
  <c r="M133" i="7"/>
  <c r="M131" i="7" s="1"/>
  <c r="P131" i="7" s="1"/>
  <c r="N133" i="7"/>
  <c r="N131" i="7" s="1"/>
  <c r="J136" i="7"/>
  <c r="J137" i="7"/>
  <c r="J138" i="7"/>
  <c r="L140" i="7"/>
  <c r="O140" i="7" s="1"/>
  <c r="M140" i="7"/>
  <c r="P140" i="7" s="1"/>
  <c r="N140" i="7"/>
  <c r="O143" i="7"/>
  <c r="P143" i="7"/>
  <c r="L144" i="7"/>
  <c r="M144" i="7"/>
  <c r="N144" i="7"/>
  <c r="O146" i="7"/>
  <c r="P146" i="7"/>
  <c r="L147" i="7"/>
  <c r="O147" i="7" s="1"/>
  <c r="M147" i="7"/>
  <c r="M145" i="7" s="1"/>
  <c r="P145" i="7" s="1"/>
  <c r="N147" i="7"/>
  <c r="N145" i="7" s="1"/>
  <c r="I150" i="7"/>
  <c r="K150" i="7" s="1"/>
  <c r="I151" i="7"/>
  <c r="K151" i="7" s="1"/>
  <c r="I152" i="7"/>
  <c r="K152" i="7" s="1"/>
  <c r="I153" i="7"/>
  <c r="K153" i="7" s="1"/>
  <c r="I154" i="7"/>
  <c r="K154" i="7" s="1"/>
  <c r="J156" i="7"/>
  <c r="L158" i="7"/>
  <c r="O158" i="7" s="1"/>
  <c r="M158" i="7"/>
  <c r="P158" i="7" s="1"/>
  <c r="N158" i="7"/>
  <c r="O161" i="7"/>
  <c r="P161" i="7"/>
  <c r="L162" i="7"/>
  <c r="M162" i="7"/>
  <c r="N162" i="7"/>
  <c r="N160" i="7" s="1"/>
  <c r="O164" i="7"/>
  <c r="P164" i="7"/>
  <c r="L165" i="7"/>
  <c r="M165" i="7"/>
  <c r="P165" i="7" s="1"/>
  <c r="N165" i="7"/>
  <c r="N163" i="7" s="1"/>
  <c r="I167" i="7"/>
  <c r="K167" i="7" s="1"/>
  <c r="I168" i="7"/>
  <c r="K168" i="7" s="1"/>
  <c r="I169" i="7"/>
  <c r="I156" i="7" s="1"/>
  <c r="K156" i="7" s="1"/>
  <c r="J172" i="7"/>
  <c r="L174" i="7"/>
  <c r="M174" i="7"/>
  <c r="N174" i="7"/>
  <c r="O177" i="7"/>
  <c r="P177" i="7"/>
  <c r="L178" i="7"/>
  <c r="M178" i="7"/>
  <c r="M176" i="7" s="1"/>
  <c r="N178" i="7"/>
  <c r="N176" i="7" s="1"/>
  <c r="O180" i="7"/>
  <c r="P180" i="7"/>
  <c r="L181" i="7"/>
  <c r="M181" i="7"/>
  <c r="P181" i="7" s="1"/>
  <c r="N181" i="7"/>
  <c r="I183" i="7"/>
  <c r="I172" i="7" s="1"/>
  <c r="K184" i="7"/>
  <c r="L187" i="7"/>
  <c r="M187" i="7"/>
  <c r="P187" i="7" s="1"/>
  <c r="N187" i="7"/>
  <c r="O190" i="7"/>
  <c r="P190" i="7"/>
  <c r="L191" i="7"/>
  <c r="L189" i="7" s="1"/>
  <c r="M191" i="7"/>
  <c r="M189" i="7" s="1"/>
  <c r="N191" i="7"/>
  <c r="O193" i="7"/>
  <c r="P193" i="7"/>
  <c r="L194" i="7"/>
  <c r="L192" i="7" s="1"/>
  <c r="O192" i="7" s="1"/>
  <c r="M194" i="7"/>
  <c r="M192" i="7" s="1"/>
  <c r="P192" i="7" s="1"/>
  <c r="N194" i="7"/>
  <c r="N192" i="7" s="1"/>
  <c r="J195" i="7"/>
  <c r="L196" i="7"/>
  <c r="O196" i="7" s="1"/>
  <c r="P196" i="7"/>
  <c r="I198" i="7"/>
  <c r="K198" i="7" s="1"/>
  <c r="J199" i="7"/>
  <c r="J202" i="7"/>
  <c r="N203" i="7"/>
  <c r="P203" i="7"/>
  <c r="L204" i="7"/>
  <c r="L205" i="7"/>
  <c r="L206" i="7"/>
  <c r="L207" i="7"/>
  <c r="I209" i="7"/>
  <c r="I211" i="7"/>
  <c r="K211" i="7" s="1"/>
  <c r="I212" i="7"/>
  <c r="K212" i="7" s="1"/>
  <c r="J213" i="7"/>
  <c r="N214" i="7"/>
  <c r="P214" i="7"/>
  <c r="L215" i="7"/>
  <c r="L216" i="7"/>
  <c r="L217" i="7"/>
  <c r="I219" i="7"/>
  <c r="K219" i="7" s="1"/>
  <c r="I220" i="7"/>
  <c r="K220" i="7" s="1"/>
  <c r="J221" i="7"/>
  <c r="N222" i="7"/>
  <c r="P222" i="7"/>
  <c r="L223" i="7"/>
  <c r="L224" i="7"/>
  <c r="L225" i="7"/>
  <c r="I228" i="7"/>
  <c r="K228" i="7" s="1"/>
  <c r="I229" i="7"/>
  <c r="K229" i="7" s="1"/>
  <c r="I230" i="7"/>
  <c r="K230" i="7" s="1"/>
  <c r="N232" i="7"/>
  <c r="N233" i="7"/>
  <c r="N234" i="7"/>
  <c r="N235" i="7"/>
  <c r="N236" i="7"/>
  <c r="J238" i="7"/>
  <c r="J240" i="7"/>
  <c r="J241" i="7"/>
  <c r="J242" i="7"/>
  <c r="J231" i="7" s="1"/>
  <c r="J185" i="7" s="1"/>
  <c r="N243" i="7"/>
  <c r="P243" i="7"/>
  <c r="L244" i="7"/>
  <c r="L245" i="7"/>
  <c r="L246" i="7"/>
  <c r="L247" i="7"/>
  <c r="I249" i="7"/>
  <c r="K249" i="7" s="1"/>
  <c r="K251" i="7"/>
  <c r="K252" i="7"/>
  <c r="J253" i="7"/>
  <c r="N254" i="7"/>
  <c r="P254" i="7"/>
  <c r="L255" i="7"/>
  <c r="L256" i="7"/>
  <c r="L257" i="7"/>
  <c r="L258" i="7"/>
  <c r="I260" i="7"/>
  <c r="K260" i="7" s="1"/>
  <c r="I262" i="7"/>
  <c r="I240" i="7" s="1"/>
  <c r="K240" i="7" s="1"/>
  <c r="I263" i="7"/>
  <c r="K263" i="7" s="1"/>
  <c r="I265" i="7"/>
  <c r="K265" i="7" s="1"/>
  <c r="J265" i="7"/>
  <c r="L267" i="7"/>
  <c r="O267" i="7" s="1"/>
  <c r="M267" i="7"/>
  <c r="N267" i="7"/>
  <c r="O270" i="7"/>
  <c r="P270" i="7"/>
  <c r="L271" i="7"/>
  <c r="L269" i="7" s="1"/>
  <c r="O269" i="7" s="1"/>
  <c r="M271" i="7"/>
  <c r="P271" i="7" s="1"/>
  <c r="N271" i="7"/>
  <c r="N269" i="7" s="1"/>
  <c r="O273" i="7"/>
  <c r="P273" i="7"/>
  <c r="L274" i="7"/>
  <c r="O274" i="7" s="1"/>
  <c r="M274" i="7"/>
  <c r="P274" i="7" s="1"/>
  <c r="N274" i="7"/>
  <c r="N272" i="7" s="1"/>
  <c r="J281" i="7"/>
  <c r="L283" i="7"/>
  <c r="O283" i="7" s="1"/>
  <c r="M283" i="7"/>
  <c r="N283" i="7"/>
  <c r="O286" i="7"/>
  <c r="P286" i="7"/>
  <c r="L287" i="7"/>
  <c r="M287" i="7"/>
  <c r="N287" i="7"/>
  <c r="N285" i="7" s="1"/>
  <c r="O289" i="7"/>
  <c r="P289" i="7"/>
  <c r="L290" i="7"/>
  <c r="O290" i="7" s="1"/>
  <c r="M290" i="7"/>
  <c r="M288" i="7" s="1"/>
  <c r="P288" i="7" s="1"/>
  <c r="N290" i="7"/>
  <c r="N288" i="7" s="1"/>
  <c r="I292" i="7"/>
  <c r="I281" i="7" s="1"/>
  <c r="I293" i="7"/>
  <c r="I280" i="7" s="1"/>
  <c r="J293" i="7"/>
  <c r="J280" i="7" s="1"/>
  <c r="I295" i="7"/>
  <c r="K295" i="7" s="1"/>
  <c r="I296" i="7"/>
  <c r="K296" i="7" s="1"/>
  <c r="J302" i="7"/>
  <c r="L304" i="7"/>
  <c r="O304" i="7" s="1"/>
  <c r="M304" i="7"/>
  <c r="N304" i="7"/>
  <c r="O307" i="7"/>
  <c r="P307" i="7"/>
  <c r="L308" i="7"/>
  <c r="O308" i="7" s="1"/>
  <c r="M308" i="7"/>
  <c r="P308" i="7" s="1"/>
  <c r="N308" i="7"/>
  <c r="O310" i="7"/>
  <c r="P310" i="7"/>
  <c r="L311" i="7"/>
  <c r="L309" i="7" s="1"/>
  <c r="O309" i="7" s="1"/>
  <c r="M311" i="7"/>
  <c r="P311" i="7" s="1"/>
  <c r="N311" i="7"/>
  <c r="N309" i="7" s="1"/>
  <c r="I314" i="7"/>
  <c r="I302" i="7" s="1"/>
  <c r="K302" i="7" s="1"/>
  <c r="I315" i="7"/>
  <c r="K315" i="7" s="1"/>
  <c r="I316" i="7"/>
  <c r="K316" i="7" s="1"/>
  <c r="I317" i="7"/>
  <c r="K317" i="7" s="1"/>
  <c r="J319" i="7"/>
  <c r="L321" i="7"/>
  <c r="M321" i="7"/>
  <c r="P321" i="7" s="1"/>
  <c r="N321" i="7"/>
  <c r="O321" i="7"/>
  <c r="O324" i="7"/>
  <c r="P324" i="7"/>
  <c r="L325" i="7"/>
  <c r="L323" i="7" s="1"/>
  <c r="O323" i="7" s="1"/>
  <c r="M325" i="7"/>
  <c r="M323" i="7" s="1"/>
  <c r="P323" i="7" s="1"/>
  <c r="N325" i="7"/>
  <c r="N323" i="7" s="1"/>
  <c r="O327" i="7"/>
  <c r="P327" i="7"/>
  <c r="L328" i="7"/>
  <c r="O328" i="7" s="1"/>
  <c r="M328" i="7"/>
  <c r="M326" i="7" s="1"/>
  <c r="P326" i="7" s="1"/>
  <c r="N328" i="7"/>
  <c r="N326" i="7" s="1"/>
  <c r="I330" i="7"/>
  <c r="I319" i="7" s="1"/>
  <c r="K319" i="7" s="1"/>
  <c r="L334" i="7"/>
  <c r="O334" i="7" s="1"/>
  <c r="M334" i="7"/>
  <c r="P334" i="7" s="1"/>
  <c r="N334" i="7"/>
  <c r="O337" i="7"/>
  <c r="P337" i="7"/>
  <c r="L338" i="7"/>
  <c r="L336" i="7" s="1"/>
  <c r="M338" i="7"/>
  <c r="M336" i="7" s="1"/>
  <c r="N338" i="7"/>
  <c r="N336" i="7" s="1"/>
  <c r="O340" i="7"/>
  <c r="P340" i="7"/>
  <c r="L341" i="7"/>
  <c r="O341" i="7" s="1"/>
  <c r="M341" i="7"/>
  <c r="M339" i="7" s="1"/>
  <c r="P339" i="7" s="1"/>
  <c r="N341" i="7"/>
  <c r="N339" i="7" s="1"/>
  <c r="I344" i="7"/>
  <c r="J344" i="7"/>
  <c r="I346" i="7"/>
  <c r="J346" i="7"/>
  <c r="J347" i="7"/>
  <c r="J348" i="7"/>
  <c r="J349" i="7"/>
  <c r="D350" i="7"/>
  <c r="J352" i="7"/>
  <c r="J353" i="7"/>
  <c r="D354" i="7"/>
  <c r="L357" i="7"/>
  <c r="M357" i="7"/>
  <c r="N357" i="7"/>
  <c r="O357" i="7"/>
  <c r="P357" i="7"/>
  <c r="O360" i="7"/>
  <c r="P360" i="7"/>
  <c r="L361" i="7"/>
  <c r="M361" i="7"/>
  <c r="M359" i="7" s="1"/>
  <c r="N361" i="7"/>
  <c r="O363" i="7"/>
  <c r="P363" i="7"/>
  <c r="L364" i="7"/>
  <c r="O364" i="7" s="1"/>
  <c r="M364" i="7"/>
  <c r="M362" i="7" s="1"/>
  <c r="P362" i="7" s="1"/>
  <c r="N364" i="7"/>
  <c r="N362" i="7" s="1"/>
  <c r="J367" i="7"/>
  <c r="K367" i="7"/>
  <c r="I368" i="7"/>
  <c r="J368" i="7"/>
  <c r="I369" i="7"/>
  <c r="J369" i="7"/>
  <c r="J370" i="7"/>
  <c r="K370" i="7"/>
  <c r="I371" i="7"/>
  <c r="I365" i="7" s="1"/>
  <c r="J371" i="7"/>
  <c r="J365" i="7" s="1"/>
  <c r="J372" i="7"/>
  <c r="K372" i="7"/>
  <c r="D373" i="7"/>
  <c r="I376" i="7"/>
  <c r="K376" i="7" s="1"/>
  <c r="J376" i="7"/>
  <c r="L378" i="7"/>
  <c r="M378" i="7"/>
  <c r="P378" i="7" s="1"/>
  <c r="N378" i="7"/>
  <c r="O378" i="7"/>
  <c r="O381" i="7"/>
  <c r="P381" i="7"/>
  <c r="L382" i="7"/>
  <c r="L380" i="7" s="1"/>
  <c r="O380" i="7" s="1"/>
  <c r="M382" i="7"/>
  <c r="M380" i="7" s="1"/>
  <c r="P380" i="7" s="1"/>
  <c r="N382" i="7"/>
  <c r="O384" i="7"/>
  <c r="P384" i="7"/>
  <c r="L385" i="7"/>
  <c r="L383" i="7" s="1"/>
  <c r="O383" i="7" s="1"/>
  <c r="M385" i="7"/>
  <c r="M383" i="7" s="1"/>
  <c r="P383" i="7" s="1"/>
  <c r="N385" i="7"/>
  <c r="N383" i="7" s="1"/>
  <c r="K387" i="7"/>
  <c r="K388" i="7"/>
  <c r="A391" i="7"/>
  <c r="A3" i="6"/>
  <c r="L22" i="6"/>
  <c r="O22" i="6" s="1"/>
  <c r="M22" i="6"/>
  <c r="M19" i="6" s="1"/>
  <c r="N22" i="6"/>
  <c r="L25" i="6"/>
  <c r="L19" i="6" s="1"/>
  <c r="M25" i="6"/>
  <c r="N25" i="6"/>
  <c r="P25" i="6"/>
  <c r="L45" i="6"/>
  <c r="M45" i="6"/>
  <c r="N45" i="6"/>
  <c r="O45" i="6"/>
  <c r="P45" i="6"/>
  <c r="O48" i="6"/>
  <c r="P48" i="6"/>
  <c r="L49" i="6"/>
  <c r="M49" i="6"/>
  <c r="M47" i="6" s="1"/>
  <c r="N49" i="6"/>
  <c r="N47" i="6" s="1"/>
  <c r="O51" i="6"/>
  <c r="P51" i="6"/>
  <c r="L52" i="6"/>
  <c r="O52" i="6" s="1"/>
  <c r="M52" i="6"/>
  <c r="M50" i="6" s="1"/>
  <c r="P50" i="6" s="1"/>
  <c r="N52" i="6"/>
  <c r="L60" i="6"/>
  <c r="M60" i="6"/>
  <c r="N60" i="6"/>
  <c r="O63" i="6"/>
  <c r="P63" i="6"/>
  <c r="L64" i="6"/>
  <c r="M64" i="6"/>
  <c r="N64" i="6"/>
  <c r="N62" i="6" s="1"/>
  <c r="O66" i="6"/>
  <c r="P66" i="6"/>
  <c r="L67" i="6"/>
  <c r="O67" i="6" s="1"/>
  <c r="M67" i="6"/>
  <c r="N67" i="6"/>
  <c r="N65" i="6" s="1"/>
  <c r="L73" i="6"/>
  <c r="M73" i="6"/>
  <c r="P73" i="6" s="1"/>
  <c r="N73" i="6"/>
  <c r="O73" i="6"/>
  <c r="O76" i="6"/>
  <c r="P76" i="6"/>
  <c r="L77" i="6"/>
  <c r="L75" i="6" s="1"/>
  <c r="O75" i="6" s="1"/>
  <c r="M77" i="6"/>
  <c r="M75" i="6" s="1"/>
  <c r="P75" i="6" s="1"/>
  <c r="N77" i="6"/>
  <c r="N75" i="6" s="1"/>
  <c r="O79" i="6"/>
  <c r="P79" i="6"/>
  <c r="L80" i="6"/>
  <c r="O80" i="6" s="1"/>
  <c r="M80" i="6"/>
  <c r="M78" i="6" s="1"/>
  <c r="P78" i="6" s="1"/>
  <c r="N80" i="6"/>
  <c r="N78" i="6" s="1"/>
  <c r="J82" i="6"/>
  <c r="J70" i="6" s="1"/>
  <c r="J83" i="6"/>
  <c r="J71" i="6" s="1"/>
  <c r="I84" i="6"/>
  <c r="I85" i="6"/>
  <c r="K85" i="6" s="1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N95" i="6"/>
  <c r="O95" i="6"/>
  <c r="O98" i="6"/>
  <c r="P98" i="6"/>
  <c r="L99" i="6"/>
  <c r="M99" i="6"/>
  <c r="N99" i="6"/>
  <c r="N97" i="6" s="1"/>
  <c r="O101" i="6"/>
  <c r="P101" i="6"/>
  <c r="L102" i="6"/>
  <c r="O102" i="6" s="1"/>
  <c r="M102" i="6"/>
  <c r="P102" i="6" s="1"/>
  <c r="N102" i="6"/>
  <c r="N100" i="6" s="1"/>
  <c r="I108" i="6"/>
  <c r="I109" i="6"/>
  <c r="K109" i="6" s="1"/>
  <c r="I117" i="6"/>
  <c r="K117" i="6" s="1"/>
  <c r="L126" i="6"/>
  <c r="M126" i="6"/>
  <c r="N126" i="6"/>
  <c r="O126" i="6"/>
  <c r="O129" i="6"/>
  <c r="P129" i="6"/>
  <c r="L130" i="6"/>
  <c r="L128" i="6" s="1"/>
  <c r="O128" i="6" s="1"/>
  <c r="M130" i="6"/>
  <c r="P130" i="6" s="1"/>
  <c r="N130" i="6"/>
  <c r="N128" i="6" s="1"/>
  <c r="O132" i="6"/>
  <c r="P132" i="6"/>
  <c r="L133" i="6"/>
  <c r="L131" i="6" s="1"/>
  <c r="O131" i="6" s="1"/>
  <c r="M133" i="6"/>
  <c r="P133" i="6" s="1"/>
  <c r="N133" i="6"/>
  <c r="N131" i="6" s="1"/>
  <c r="J136" i="6"/>
  <c r="J137" i="6"/>
  <c r="J138" i="6"/>
  <c r="L140" i="6"/>
  <c r="M140" i="6"/>
  <c r="N140" i="6"/>
  <c r="O140" i="6"/>
  <c r="O143" i="6"/>
  <c r="P143" i="6"/>
  <c r="L144" i="6"/>
  <c r="L142" i="6" s="1"/>
  <c r="M144" i="6"/>
  <c r="N144" i="6"/>
  <c r="O146" i="6"/>
  <c r="P146" i="6"/>
  <c r="L147" i="6"/>
  <c r="L145" i="6" s="1"/>
  <c r="O145" i="6" s="1"/>
  <c r="M147" i="6"/>
  <c r="P147" i="6" s="1"/>
  <c r="N147" i="6"/>
  <c r="N145" i="6" s="1"/>
  <c r="I150" i="6"/>
  <c r="K150" i="6" s="1"/>
  <c r="I151" i="6"/>
  <c r="K151" i="6" s="1"/>
  <c r="I152" i="6"/>
  <c r="K152" i="6" s="1"/>
  <c r="I153" i="6"/>
  <c r="I138" i="6" s="1"/>
  <c r="K138" i="6" s="1"/>
  <c r="I154" i="6"/>
  <c r="I136" i="6" s="1"/>
  <c r="K136" i="6" s="1"/>
  <c r="J156" i="6"/>
  <c r="L158" i="6"/>
  <c r="M158" i="6"/>
  <c r="P158" i="6" s="1"/>
  <c r="N158" i="6"/>
  <c r="O158" i="6"/>
  <c r="O161" i="6"/>
  <c r="P161" i="6"/>
  <c r="L162" i="6"/>
  <c r="L160" i="6" s="1"/>
  <c r="M162" i="6"/>
  <c r="M160" i="6" s="1"/>
  <c r="P160" i="6" s="1"/>
  <c r="N162" i="6"/>
  <c r="N160" i="6" s="1"/>
  <c r="O164" i="6"/>
  <c r="P164" i="6"/>
  <c r="L165" i="6"/>
  <c r="L163" i="6" s="1"/>
  <c r="O163" i="6" s="1"/>
  <c r="M165" i="6"/>
  <c r="M163" i="6" s="1"/>
  <c r="P163" i="6" s="1"/>
  <c r="N165" i="6"/>
  <c r="N163" i="6" s="1"/>
  <c r="I167" i="6"/>
  <c r="I156" i="6" s="1"/>
  <c r="K156" i="6" s="1"/>
  <c r="J172" i="6"/>
  <c r="L174" i="6"/>
  <c r="O174" i="6" s="1"/>
  <c r="M174" i="6"/>
  <c r="N174" i="6"/>
  <c r="P174" i="6"/>
  <c r="O177" i="6"/>
  <c r="P177" i="6"/>
  <c r="L178" i="6"/>
  <c r="L176" i="6" s="1"/>
  <c r="M178" i="6"/>
  <c r="M176" i="6" s="1"/>
  <c r="N178" i="6"/>
  <c r="N176" i="6" s="1"/>
  <c r="O180" i="6"/>
  <c r="P180" i="6"/>
  <c r="L181" i="6"/>
  <c r="L179" i="6" s="1"/>
  <c r="O179" i="6" s="1"/>
  <c r="M181" i="6"/>
  <c r="M179" i="6" s="1"/>
  <c r="P179" i="6" s="1"/>
  <c r="N181" i="6"/>
  <c r="N179" i="6" s="1"/>
  <c r="I183" i="6"/>
  <c r="I172" i="6" s="1"/>
  <c r="K172" i="6" s="1"/>
  <c r="K184" i="6"/>
  <c r="L187" i="6"/>
  <c r="M187" i="6"/>
  <c r="N187" i="6"/>
  <c r="P187" i="6"/>
  <c r="O190" i="6"/>
  <c r="P190" i="6"/>
  <c r="L191" i="6"/>
  <c r="L189" i="6" s="1"/>
  <c r="M191" i="6"/>
  <c r="N191" i="6"/>
  <c r="N189" i="6" s="1"/>
  <c r="O193" i="6"/>
  <c r="P193" i="6"/>
  <c r="L194" i="6"/>
  <c r="L192" i="6" s="1"/>
  <c r="O192" i="6" s="1"/>
  <c r="M194" i="6"/>
  <c r="N194" i="6"/>
  <c r="N192" i="6" s="1"/>
  <c r="J195" i="6"/>
  <c r="L196" i="6"/>
  <c r="O196" i="6" s="1"/>
  <c r="P196" i="6"/>
  <c r="I198" i="6"/>
  <c r="I195" i="6" s="1"/>
  <c r="K195" i="6" s="1"/>
  <c r="J199" i="6"/>
  <c r="J202" i="6"/>
  <c r="N203" i="6"/>
  <c r="P203" i="6"/>
  <c r="L204" i="6"/>
  <c r="L205" i="6"/>
  <c r="L206" i="6"/>
  <c r="L207" i="6"/>
  <c r="I209" i="6"/>
  <c r="I211" i="6"/>
  <c r="K211" i="6" s="1"/>
  <c r="I212" i="6"/>
  <c r="K212" i="6" s="1"/>
  <c r="J213" i="6"/>
  <c r="N214" i="6"/>
  <c r="P214" i="6"/>
  <c r="L215" i="6"/>
  <c r="L216" i="6"/>
  <c r="L217" i="6"/>
  <c r="I219" i="6"/>
  <c r="K219" i="6" s="1"/>
  <c r="I220" i="6"/>
  <c r="K220" i="6" s="1"/>
  <c r="J221" i="6"/>
  <c r="N222" i="6"/>
  <c r="P222" i="6"/>
  <c r="L223" i="6"/>
  <c r="L224" i="6"/>
  <c r="L225" i="6"/>
  <c r="I228" i="6"/>
  <c r="K228" i="6" s="1"/>
  <c r="I229" i="6"/>
  <c r="I221" i="6" s="1"/>
  <c r="K221" i="6" s="1"/>
  <c r="I230" i="6"/>
  <c r="K230" i="6" s="1"/>
  <c r="N233" i="6"/>
  <c r="N234" i="6"/>
  <c r="N235" i="6"/>
  <c r="N236" i="6"/>
  <c r="J238" i="6"/>
  <c r="I240" i="6"/>
  <c r="J240" i="6"/>
  <c r="K240" i="6"/>
  <c r="I241" i="6"/>
  <c r="K241" i="6" s="1"/>
  <c r="J241" i="6"/>
  <c r="J242" i="6"/>
  <c r="J231" i="6" s="1"/>
  <c r="J185" i="6" s="1"/>
  <c r="N243" i="6"/>
  <c r="P243" i="6"/>
  <c r="L244" i="6"/>
  <c r="L245" i="6"/>
  <c r="L246" i="6"/>
  <c r="L247" i="6"/>
  <c r="I249" i="6"/>
  <c r="K249" i="6" s="1"/>
  <c r="K251" i="6"/>
  <c r="K252" i="6"/>
  <c r="J253" i="6"/>
  <c r="N254" i="6"/>
  <c r="P254" i="6"/>
  <c r="L255" i="6"/>
  <c r="L256" i="6"/>
  <c r="L257" i="6"/>
  <c r="L258" i="6"/>
  <c r="I260" i="6"/>
  <c r="K262" i="6"/>
  <c r="K263" i="6"/>
  <c r="I265" i="6"/>
  <c r="K265" i="6" s="1"/>
  <c r="J265" i="6"/>
  <c r="L267" i="6"/>
  <c r="M267" i="6"/>
  <c r="N267" i="6"/>
  <c r="P267" i="6"/>
  <c r="O270" i="6"/>
  <c r="P270" i="6"/>
  <c r="L271" i="6"/>
  <c r="O271" i="6" s="1"/>
  <c r="M271" i="6"/>
  <c r="N271" i="6"/>
  <c r="N269" i="6" s="1"/>
  <c r="O273" i="6"/>
  <c r="P273" i="6"/>
  <c r="L274" i="6"/>
  <c r="O274" i="6" s="1"/>
  <c r="M274" i="6"/>
  <c r="N274" i="6"/>
  <c r="N272" i="6" s="1"/>
  <c r="J281" i="6"/>
  <c r="L283" i="6"/>
  <c r="M283" i="6"/>
  <c r="P283" i="6" s="1"/>
  <c r="N283" i="6"/>
  <c r="O283" i="6"/>
  <c r="O286" i="6"/>
  <c r="P286" i="6"/>
  <c r="L287" i="6"/>
  <c r="L285" i="6" s="1"/>
  <c r="M287" i="6"/>
  <c r="M285" i="6" s="1"/>
  <c r="N287" i="6"/>
  <c r="N285" i="6" s="1"/>
  <c r="O289" i="6"/>
  <c r="P289" i="6"/>
  <c r="L290" i="6"/>
  <c r="L288" i="6" s="1"/>
  <c r="O288" i="6" s="1"/>
  <c r="M290" i="6"/>
  <c r="M288" i="6" s="1"/>
  <c r="P288" i="6" s="1"/>
  <c r="N290" i="6"/>
  <c r="N288" i="6" s="1"/>
  <c r="I292" i="6"/>
  <c r="I281" i="6" s="1"/>
  <c r="K281" i="6" s="1"/>
  <c r="I293" i="6"/>
  <c r="I280" i="6" s="1"/>
  <c r="J293" i="6"/>
  <c r="J280" i="6" s="1"/>
  <c r="I295" i="6"/>
  <c r="K295" i="6" s="1"/>
  <c r="I296" i="6"/>
  <c r="K296" i="6" s="1"/>
  <c r="J302" i="6"/>
  <c r="L304" i="6"/>
  <c r="M304" i="6"/>
  <c r="N304" i="6"/>
  <c r="P304" i="6"/>
  <c r="O307" i="6"/>
  <c r="P307" i="6"/>
  <c r="L308" i="6"/>
  <c r="M308" i="6"/>
  <c r="N308" i="6"/>
  <c r="O310" i="6"/>
  <c r="P310" i="6"/>
  <c r="L311" i="6"/>
  <c r="O311" i="6" s="1"/>
  <c r="M311" i="6"/>
  <c r="N311" i="6"/>
  <c r="N309" i="6" s="1"/>
  <c r="I314" i="6"/>
  <c r="I302" i="6" s="1"/>
  <c r="I315" i="6"/>
  <c r="K315" i="6" s="1"/>
  <c r="I316" i="6"/>
  <c r="K316" i="6" s="1"/>
  <c r="I317" i="6"/>
  <c r="K317" i="6" s="1"/>
  <c r="J319" i="6"/>
  <c r="L321" i="6"/>
  <c r="M321" i="6"/>
  <c r="N321" i="6"/>
  <c r="O321" i="6"/>
  <c r="P321" i="6"/>
  <c r="O324" i="6"/>
  <c r="P324" i="6"/>
  <c r="L325" i="6"/>
  <c r="L323" i="6" s="1"/>
  <c r="O323" i="6" s="1"/>
  <c r="M325" i="6"/>
  <c r="M323" i="6" s="1"/>
  <c r="P323" i="6" s="1"/>
  <c r="N325" i="6"/>
  <c r="N323" i="6" s="1"/>
  <c r="O327" i="6"/>
  <c r="P327" i="6"/>
  <c r="L328" i="6"/>
  <c r="L326" i="6" s="1"/>
  <c r="O326" i="6" s="1"/>
  <c r="M328" i="6"/>
  <c r="M326" i="6" s="1"/>
  <c r="P326" i="6" s="1"/>
  <c r="N328" i="6"/>
  <c r="N326" i="6" s="1"/>
  <c r="I330" i="6"/>
  <c r="K330" i="6" s="1"/>
  <c r="L334" i="6"/>
  <c r="O334" i="6" s="1"/>
  <c r="M334" i="6"/>
  <c r="P334" i="6" s="1"/>
  <c r="N334" i="6"/>
  <c r="O337" i="6"/>
  <c r="P337" i="6"/>
  <c r="L338" i="6"/>
  <c r="L336" i="6" s="1"/>
  <c r="M338" i="6"/>
  <c r="M336" i="6" s="1"/>
  <c r="N338" i="6"/>
  <c r="N336" i="6" s="1"/>
  <c r="O340" i="6"/>
  <c r="P340" i="6"/>
  <c r="L341" i="6"/>
  <c r="M341" i="6"/>
  <c r="M339" i="6" s="1"/>
  <c r="P339" i="6" s="1"/>
  <c r="N341" i="6"/>
  <c r="N339" i="6" s="1"/>
  <c r="I344" i="6"/>
  <c r="I332" i="6" s="1"/>
  <c r="J344" i="6"/>
  <c r="I346" i="6"/>
  <c r="J346" i="6"/>
  <c r="J347" i="6"/>
  <c r="J348" i="6"/>
  <c r="J349" i="6"/>
  <c r="D350" i="6"/>
  <c r="J352" i="6"/>
  <c r="J353" i="6"/>
  <c r="D354" i="6"/>
  <c r="L357" i="6"/>
  <c r="M357" i="6"/>
  <c r="N357" i="6"/>
  <c r="O357" i="6"/>
  <c r="P357" i="6"/>
  <c r="O360" i="6"/>
  <c r="P360" i="6"/>
  <c r="L361" i="6"/>
  <c r="L359" i="6" s="1"/>
  <c r="M361" i="6"/>
  <c r="N361" i="6"/>
  <c r="N359" i="6" s="1"/>
  <c r="O363" i="6"/>
  <c r="P363" i="6"/>
  <c r="L364" i="6"/>
  <c r="L362" i="6" s="1"/>
  <c r="O362" i="6" s="1"/>
  <c r="M364" i="6"/>
  <c r="M362" i="6" s="1"/>
  <c r="P362" i="6" s="1"/>
  <c r="N364" i="6"/>
  <c r="N362" i="6" s="1"/>
  <c r="J367" i="6"/>
  <c r="K367" i="6"/>
  <c r="I368" i="6"/>
  <c r="J368" i="6"/>
  <c r="I369" i="6"/>
  <c r="J369" i="6"/>
  <c r="J370" i="6"/>
  <c r="K370" i="6"/>
  <c r="I371" i="6"/>
  <c r="I365" i="6" s="1"/>
  <c r="J371" i="6"/>
  <c r="J365" i="6" s="1"/>
  <c r="J372" i="6"/>
  <c r="K372" i="6"/>
  <c r="D373" i="6"/>
  <c r="I376" i="6"/>
  <c r="K376" i="6" s="1"/>
  <c r="J376" i="6"/>
  <c r="L378" i="6"/>
  <c r="O378" i="6" s="1"/>
  <c r="M378" i="6"/>
  <c r="N378" i="6"/>
  <c r="O381" i="6"/>
  <c r="P381" i="6"/>
  <c r="L382" i="6"/>
  <c r="L380" i="6" s="1"/>
  <c r="O380" i="6" s="1"/>
  <c r="M382" i="6"/>
  <c r="M380" i="6" s="1"/>
  <c r="P380" i="6" s="1"/>
  <c r="N382" i="6"/>
  <c r="N380" i="6" s="1"/>
  <c r="O384" i="6"/>
  <c r="P384" i="6"/>
  <c r="L385" i="6"/>
  <c r="O385" i="6" s="1"/>
  <c r="M385" i="6"/>
  <c r="M383" i="6" s="1"/>
  <c r="P383" i="6" s="1"/>
  <c r="N385" i="6"/>
  <c r="N383" i="6" s="1"/>
  <c r="K387" i="6"/>
  <c r="K388" i="6"/>
  <c r="A391" i="6"/>
  <c r="A3" i="5"/>
  <c r="L22" i="5"/>
  <c r="M22" i="5"/>
  <c r="N22" i="5"/>
  <c r="O22" i="5"/>
  <c r="P22" i="5"/>
  <c r="L25" i="5"/>
  <c r="M25" i="5"/>
  <c r="M19" i="5" s="1"/>
  <c r="P19" i="5" s="1"/>
  <c r="N25" i="5"/>
  <c r="L45" i="5"/>
  <c r="M45" i="5"/>
  <c r="P45" i="5" s="1"/>
  <c r="N45" i="5"/>
  <c r="O45" i="5"/>
  <c r="O48" i="5"/>
  <c r="P48" i="5"/>
  <c r="L49" i="5"/>
  <c r="L47" i="5" s="1"/>
  <c r="M49" i="5"/>
  <c r="N49" i="5"/>
  <c r="N47" i="5" s="1"/>
  <c r="O51" i="5"/>
  <c r="P51" i="5"/>
  <c r="L52" i="5"/>
  <c r="L50" i="5" s="1"/>
  <c r="O50" i="5" s="1"/>
  <c r="M52" i="5"/>
  <c r="P52" i="5" s="1"/>
  <c r="N52" i="5"/>
  <c r="N50" i="5" s="1"/>
  <c r="L60" i="5"/>
  <c r="M60" i="5"/>
  <c r="P60" i="5" s="1"/>
  <c r="N60" i="5"/>
  <c r="O63" i="5"/>
  <c r="P63" i="5"/>
  <c r="L64" i="5"/>
  <c r="L62" i="5" s="1"/>
  <c r="M64" i="5"/>
  <c r="M62" i="5" s="1"/>
  <c r="N64" i="5"/>
  <c r="N62" i="5" s="1"/>
  <c r="O66" i="5"/>
  <c r="P66" i="5"/>
  <c r="L67" i="5"/>
  <c r="L65" i="5" s="1"/>
  <c r="O65" i="5" s="1"/>
  <c r="M67" i="5"/>
  <c r="M65" i="5" s="1"/>
  <c r="P65" i="5" s="1"/>
  <c r="N67" i="5"/>
  <c r="N65" i="5" s="1"/>
  <c r="J71" i="5"/>
  <c r="L73" i="5"/>
  <c r="M73" i="5"/>
  <c r="N73" i="5"/>
  <c r="O73" i="5"/>
  <c r="P73" i="5"/>
  <c r="O76" i="5"/>
  <c r="P76" i="5"/>
  <c r="L77" i="5"/>
  <c r="L75" i="5" s="1"/>
  <c r="O75" i="5" s="1"/>
  <c r="M77" i="5"/>
  <c r="M75" i="5" s="1"/>
  <c r="P75" i="5" s="1"/>
  <c r="N77" i="5"/>
  <c r="N75" i="5" s="1"/>
  <c r="O79" i="5"/>
  <c r="P79" i="5"/>
  <c r="L80" i="5"/>
  <c r="L78" i="5" s="1"/>
  <c r="O78" i="5" s="1"/>
  <c r="M80" i="5"/>
  <c r="M78" i="5" s="1"/>
  <c r="P78" i="5" s="1"/>
  <c r="N80" i="5"/>
  <c r="N78" i="5" s="1"/>
  <c r="J82" i="5"/>
  <c r="J70" i="5" s="1"/>
  <c r="J83" i="5"/>
  <c r="I84" i="5"/>
  <c r="K84" i="5" s="1"/>
  <c r="I85" i="5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O95" i="5" s="1"/>
  <c r="M95" i="5"/>
  <c r="N95" i="5"/>
  <c r="P95" i="5"/>
  <c r="O98" i="5"/>
  <c r="P98" i="5"/>
  <c r="L99" i="5"/>
  <c r="L97" i="5" s="1"/>
  <c r="O97" i="5" s="1"/>
  <c r="M99" i="5"/>
  <c r="M97" i="5" s="1"/>
  <c r="P97" i="5" s="1"/>
  <c r="N99" i="5"/>
  <c r="N97" i="5" s="1"/>
  <c r="O101" i="5"/>
  <c r="P101" i="5"/>
  <c r="L102" i="5"/>
  <c r="O102" i="5" s="1"/>
  <c r="M102" i="5"/>
  <c r="M100" i="5" s="1"/>
  <c r="P100" i="5" s="1"/>
  <c r="N102" i="5"/>
  <c r="I108" i="5"/>
  <c r="K108" i="5" s="1"/>
  <c r="I109" i="5"/>
  <c r="K109" i="5" s="1"/>
  <c r="I117" i="5"/>
  <c r="K117" i="5" s="1"/>
  <c r="L126" i="5"/>
  <c r="O126" i="5" s="1"/>
  <c r="M126" i="5"/>
  <c r="P126" i="5" s="1"/>
  <c r="N126" i="5"/>
  <c r="O129" i="5"/>
  <c r="P129" i="5"/>
  <c r="L130" i="5"/>
  <c r="O130" i="5" s="1"/>
  <c r="M130" i="5"/>
  <c r="M128" i="5" s="1"/>
  <c r="P128" i="5" s="1"/>
  <c r="N130" i="5"/>
  <c r="N128" i="5" s="1"/>
  <c r="O132" i="5"/>
  <c r="P132" i="5"/>
  <c r="L133" i="5"/>
  <c r="L131" i="5" s="1"/>
  <c r="O131" i="5" s="1"/>
  <c r="M133" i="5"/>
  <c r="M131" i="5" s="1"/>
  <c r="P131" i="5" s="1"/>
  <c r="N133" i="5"/>
  <c r="N131" i="5" s="1"/>
  <c r="J136" i="5"/>
  <c r="J137" i="5"/>
  <c r="J138" i="5"/>
  <c r="L140" i="5"/>
  <c r="M140" i="5"/>
  <c r="N140" i="5"/>
  <c r="O140" i="5"/>
  <c r="P140" i="5"/>
  <c r="O143" i="5"/>
  <c r="P143" i="5"/>
  <c r="L144" i="5"/>
  <c r="M144" i="5"/>
  <c r="M142" i="5" s="1"/>
  <c r="N144" i="5"/>
  <c r="O146" i="5"/>
  <c r="P146" i="5"/>
  <c r="L147" i="5"/>
  <c r="L145" i="5" s="1"/>
  <c r="O145" i="5" s="1"/>
  <c r="M147" i="5"/>
  <c r="M145" i="5" s="1"/>
  <c r="P145" i="5" s="1"/>
  <c r="N147" i="5"/>
  <c r="N145" i="5" s="1"/>
  <c r="I150" i="5"/>
  <c r="K150" i="5" s="1"/>
  <c r="I151" i="5"/>
  <c r="K151" i="5" s="1"/>
  <c r="I152" i="5"/>
  <c r="K152" i="5" s="1"/>
  <c r="I153" i="5"/>
  <c r="K153" i="5" s="1"/>
  <c r="I154" i="5"/>
  <c r="I136" i="5" s="1"/>
  <c r="K136" i="5" s="1"/>
  <c r="J156" i="5"/>
  <c r="L158" i="5"/>
  <c r="M158" i="5"/>
  <c r="N158" i="5"/>
  <c r="P158" i="5"/>
  <c r="O161" i="5"/>
  <c r="P161" i="5"/>
  <c r="L162" i="5"/>
  <c r="L160" i="5" s="1"/>
  <c r="M162" i="5"/>
  <c r="M160" i="5" s="1"/>
  <c r="P160" i="5" s="1"/>
  <c r="N162" i="5"/>
  <c r="N160" i="5" s="1"/>
  <c r="O164" i="5"/>
  <c r="P164" i="5"/>
  <c r="L165" i="5"/>
  <c r="L163" i="5" s="1"/>
  <c r="O163" i="5" s="1"/>
  <c r="M165" i="5"/>
  <c r="M163" i="5" s="1"/>
  <c r="P163" i="5" s="1"/>
  <c r="N165" i="5"/>
  <c r="N163" i="5" s="1"/>
  <c r="I167" i="5"/>
  <c r="I156" i="5" s="1"/>
  <c r="K156" i="5" s="1"/>
  <c r="J172" i="5"/>
  <c r="L174" i="5"/>
  <c r="O174" i="5" s="1"/>
  <c r="M174" i="5"/>
  <c r="N174" i="5"/>
  <c r="P174" i="5"/>
  <c r="O177" i="5"/>
  <c r="P177" i="5"/>
  <c r="L178" i="5"/>
  <c r="L176" i="5" s="1"/>
  <c r="M178" i="5"/>
  <c r="M176" i="5" s="1"/>
  <c r="N178" i="5"/>
  <c r="N176" i="5" s="1"/>
  <c r="O180" i="5"/>
  <c r="P180" i="5"/>
  <c r="L181" i="5"/>
  <c r="L179" i="5" s="1"/>
  <c r="O179" i="5" s="1"/>
  <c r="M181" i="5"/>
  <c r="M179" i="5" s="1"/>
  <c r="P179" i="5" s="1"/>
  <c r="N181" i="5"/>
  <c r="N179" i="5" s="1"/>
  <c r="I183" i="5"/>
  <c r="I172" i="5" s="1"/>
  <c r="K172" i="5" s="1"/>
  <c r="K184" i="5"/>
  <c r="L187" i="5"/>
  <c r="M187" i="5"/>
  <c r="P187" i="5" s="1"/>
  <c r="N187" i="5"/>
  <c r="O190" i="5"/>
  <c r="P190" i="5"/>
  <c r="L191" i="5"/>
  <c r="L189" i="5" s="1"/>
  <c r="M191" i="5"/>
  <c r="M189" i="5" s="1"/>
  <c r="N191" i="5"/>
  <c r="O193" i="5"/>
  <c r="P193" i="5"/>
  <c r="L194" i="5"/>
  <c r="L192" i="5" s="1"/>
  <c r="O192" i="5" s="1"/>
  <c r="M194" i="5"/>
  <c r="M192" i="5" s="1"/>
  <c r="P192" i="5" s="1"/>
  <c r="N194" i="5"/>
  <c r="N192" i="5" s="1"/>
  <c r="J195" i="5"/>
  <c r="L196" i="5"/>
  <c r="O196" i="5" s="1"/>
  <c r="P196" i="5"/>
  <c r="I198" i="5"/>
  <c r="I195" i="5" s="1"/>
  <c r="K195" i="5" s="1"/>
  <c r="J199" i="5"/>
  <c r="J202" i="5"/>
  <c r="N203" i="5"/>
  <c r="P203" i="5"/>
  <c r="L204" i="5"/>
  <c r="L205" i="5"/>
  <c r="L206" i="5"/>
  <c r="L207" i="5"/>
  <c r="I209" i="5"/>
  <c r="I211" i="5"/>
  <c r="K211" i="5" s="1"/>
  <c r="I212" i="5"/>
  <c r="K212" i="5" s="1"/>
  <c r="J213" i="5"/>
  <c r="N214" i="5"/>
  <c r="P214" i="5"/>
  <c r="L215" i="5"/>
  <c r="L216" i="5"/>
  <c r="L217" i="5"/>
  <c r="I219" i="5"/>
  <c r="K219" i="5" s="1"/>
  <c r="I220" i="5"/>
  <c r="K220" i="5" s="1"/>
  <c r="J221" i="5"/>
  <c r="N222" i="5"/>
  <c r="P222" i="5"/>
  <c r="L223" i="5"/>
  <c r="L224" i="5"/>
  <c r="L225" i="5"/>
  <c r="I228" i="5"/>
  <c r="K228" i="5" s="1"/>
  <c r="I229" i="5"/>
  <c r="K229" i="5" s="1"/>
  <c r="I230" i="5"/>
  <c r="K230" i="5" s="1"/>
  <c r="N233" i="5"/>
  <c r="N234" i="5"/>
  <c r="N235" i="5"/>
  <c r="N236" i="5"/>
  <c r="J238" i="5"/>
  <c r="I240" i="5"/>
  <c r="K240" i="5" s="1"/>
  <c r="J240" i="5"/>
  <c r="I241" i="5"/>
  <c r="K241" i="5" s="1"/>
  <c r="J241" i="5"/>
  <c r="J242" i="5"/>
  <c r="N243" i="5"/>
  <c r="N232" i="5" s="1"/>
  <c r="P243" i="5"/>
  <c r="L244" i="5"/>
  <c r="L245" i="5"/>
  <c r="L246" i="5"/>
  <c r="L247" i="5"/>
  <c r="I249" i="5"/>
  <c r="K251" i="5"/>
  <c r="K252" i="5"/>
  <c r="J253" i="5"/>
  <c r="J231" i="5" s="1"/>
  <c r="J185" i="5" s="1"/>
  <c r="N254" i="5"/>
  <c r="P254" i="5"/>
  <c r="L255" i="5"/>
  <c r="L256" i="5"/>
  <c r="L257" i="5"/>
  <c r="L258" i="5"/>
  <c r="I260" i="5"/>
  <c r="K262" i="5"/>
  <c r="K263" i="5"/>
  <c r="I265" i="5"/>
  <c r="J265" i="5"/>
  <c r="K265" i="5"/>
  <c r="L267" i="5"/>
  <c r="O267" i="5" s="1"/>
  <c r="M267" i="5"/>
  <c r="P267" i="5" s="1"/>
  <c r="N267" i="5"/>
  <c r="O270" i="5"/>
  <c r="P270" i="5"/>
  <c r="L271" i="5"/>
  <c r="L269" i="5" s="1"/>
  <c r="O269" i="5" s="1"/>
  <c r="M271" i="5"/>
  <c r="M269" i="5" s="1"/>
  <c r="P269" i="5" s="1"/>
  <c r="N271" i="5"/>
  <c r="O273" i="5"/>
  <c r="P273" i="5"/>
  <c r="L274" i="5"/>
  <c r="L272" i="5" s="1"/>
  <c r="O272" i="5" s="1"/>
  <c r="M274" i="5"/>
  <c r="M272" i="5" s="1"/>
  <c r="P272" i="5" s="1"/>
  <c r="N274" i="5"/>
  <c r="N272" i="5" s="1"/>
  <c r="J281" i="5"/>
  <c r="L283" i="5"/>
  <c r="M283" i="5"/>
  <c r="N283" i="5"/>
  <c r="P283" i="5"/>
  <c r="O286" i="5"/>
  <c r="P286" i="5"/>
  <c r="L287" i="5"/>
  <c r="M287" i="5"/>
  <c r="M285" i="5" s="1"/>
  <c r="N287" i="5"/>
  <c r="N285" i="5" s="1"/>
  <c r="O289" i="5"/>
  <c r="P289" i="5"/>
  <c r="L290" i="5"/>
  <c r="O290" i="5" s="1"/>
  <c r="M290" i="5"/>
  <c r="M288" i="5" s="1"/>
  <c r="P288" i="5" s="1"/>
  <c r="N290" i="5"/>
  <c r="N288" i="5" s="1"/>
  <c r="I292" i="5"/>
  <c r="I281" i="5" s="1"/>
  <c r="K281" i="5" s="1"/>
  <c r="I293" i="5"/>
  <c r="J293" i="5"/>
  <c r="J280" i="5" s="1"/>
  <c r="I295" i="5"/>
  <c r="K295" i="5" s="1"/>
  <c r="I296" i="5"/>
  <c r="K296" i="5" s="1"/>
  <c r="J302" i="5"/>
  <c r="L304" i="5"/>
  <c r="M304" i="5"/>
  <c r="P304" i="5" s="1"/>
  <c r="N304" i="5"/>
  <c r="O304" i="5"/>
  <c r="O307" i="5"/>
  <c r="P307" i="5"/>
  <c r="L308" i="5"/>
  <c r="M308" i="5"/>
  <c r="N308" i="5"/>
  <c r="N306" i="5" s="1"/>
  <c r="O310" i="5"/>
  <c r="P310" i="5"/>
  <c r="L311" i="5"/>
  <c r="L309" i="5" s="1"/>
  <c r="O309" i="5" s="1"/>
  <c r="M311" i="5"/>
  <c r="M309" i="5" s="1"/>
  <c r="P309" i="5" s="1"/>
  <c r="N311" i="5"/>
  <c r="N309" i="5" s="1"/>
  <c r="I314" i="5"/>
  <c r="I302" i="5" s="1"/>
  <c r="K302" i="5" s="1"/>
  <c r="I315" i="5"/>
  <c r="K315" i="5" s="1"/>
  <c r="I316" i="5"/>
  <c r="K316" i="5" s="1"/>
  <c r="I317" i="5"/>
  <c r="K317" i="5" s="1"/>
  <c r="J319" i="5"/>
  <c r="L321" i="5"/>
  <c r="O321" i="5" s="1"/>
  <c r="M321" i="5"/>
  <c r="P321" i="5" s="1"/>
  <c r="N321" i="5"/>
  <c r="O324" i="5"/>
  <c r="P324" i="5"/>
  <c r="L325" i="5"/>
  <c r="O325" i="5" s="1"/>
  <c r="M325" i="5"/>
  <c r="M323" i="5" s="1"/>
  <c r="P323" i="5" s="1"/>
  <c r="N325" i="5"/>
  <c r="N323" i="5" s="1"/>
  <c r="O327" i="5"/>
  <c r="P327" i="5"/>
  <c r="L328" i="5"/>
  <c r="O328" i="5" s="1"/>
  <c r="M328" i="5"/>
  <c r="P328" i="5" s="1"/>
  <c r="N328" i="5"/>
  <c r="N326" i="5" s="1"/>
  <c r="I330" i="5"/>
  <c r="I319" i="5" s="1"/>
  <c r="K319" i="5" s="1"/>
  <c r="L334" i="5"/>
  <c r="M334" i="5"/>
  <c r="P334" i="5" s="1"/>
  <c r="N334" i="5"/>
  <c r="O334" i="5"/>
  <c r="O337" i="5"/>
  <c r="P337" i="5"/>
  <c r="L338" i="5"/>
  <c r="L336" i="5" s="1"/>
  <c r="M338" i="5"/>
  <c r="M336" i="5" s="1"/>
  <c r="N338" i="5"/>
  <c r="N336" i="5" s="1"/>
  <c r="O340" i="5"/>
  <c r="P340" i="5"/>
  <c r="L341" i="5"/>
  <c r="L339" i="5" s="1"/>
  <c r="O339" i="5" s="1"/>
  <c r="M341" i="5"/>
  <c r="M339" i="5" s="1"/>
  <c r="P339" i="5" s="1"/>
  <c r="N341" i="5"/>
  <c r="N339" i="5" s="1"/>
  <c r="I344" i="5"/>
  <c r="I332" i="5" s="1"/>
  <c r="J344" i="5"/>
  <c r="I346" i="5"/>
  <c r="J346" i="5"/>
  <c r="J347" i="5"/>
  <c r="J348" i="5"/>
  <c r="J349" i="5"/>
  <c r="D350" i="5"/>
  <c r="J352" i="5"/>
  <c r="J353" i="5"/>
  <c r="D354" i="5"/>
  <c r="L357" i="5"/>
  <c r="M357" i="5"/>
  <c r="P357" i="5" s="1"/>
  <c r="N357" i="5"/>
  <c r="O357" i="5"/>
  <c r="O360" i="5"/>
  <c r="P360" i="5"/>
  <c r="L361" i="5"/>
  <c r="L359" i="5" s="1"/>
  <c r="M361" i="5"/>
  <c r="N361" i="5"/>
  <c r="N359" i="5" s="1"/>
  <c r="O363" i="5"/>
  <c r="P363" i="5"/>
  <c r="L364" i="5"/>
  <c r="M364" i="5"/>
  <c r="M362" i="5" s="1"/>
  <c r="P362" i="5" s="1"/>
  <c r="N364" i="5"/>
  <c r="N362" i="5" s="1"/>
  <c r="J367" i="5"/>
  <c r="K367" i="5"/>
  <c r="I368" i="5"/>
  <c r="J368" i="5"/>
  <c r="I369" i="5"/>
  <c r="J369" i="5"/>
  <c r="J370" i="5"/>
  <c r="K370" i="5"/>
  <c r="I371" i="5"/>
  <c r="I365" i="5" s="1"/>
  <c r="J371" i="5"/>
  <c r="J365" i="5" s="1"/>
  <c r="J372" i="5"/>
  <c r="K372" i="5"/>
  <c r="D373" i="5"/>
  <c r="I376" i="5"/>
  <c r="K376" i="5" s="1"/>
  <c r="J376" i="5"/>
  <c r="L378" i="5"/>
  <c r="M378" i="5"/>
  <c r="P378" i="5" s="1"/>
  <c r="N378" i="5"/>
  <c r="O378" i="5"/>
  <c r="O381" i="5"/>
  <c r="P381" i="5"/>
  <c r="L382" i="5"/>
  <c r="L380" i="5" s="1"/>
  <c r="O380" i="5" s="1"/>
  <c r="M382" i="5"/>
  <c r="N382" i="5"/>
  <c r="N380" i="5" s="1"/>
  <c r="O384" i="5"/>
  <c r="P384" i="5"/>
  <c r="L385" i="5"/>
  <c r="L383" i="5" s="1"/>
  <c r="O383" i="5" s="1"/>
  <c r="M385" i="5"/>
  <c r="M383" i="5" s="1"/>
  <c r="P383" i="5" s="1"/>
  <c r="N385" i="5"/>
  <c r="N383" i="5" s="1"/>
  <c r="K387" i="5"/>
  <c r="K388" i="5"/>
  <c r="A391" i="5"/>
  <c r="A3" i="4"/>
  <c r="L22" i="4"/>
  <c r="L19" i="4" s="1"/>
  <c r="M22" i="4"/>
  <c r="N22" i="4"/>
  <c r="L25" i="4"/>
  <c r="M25" i="4"/>
  <c r="P25" i="4" s="1"/>
  <c r="N25" i="4"/>
  <c r="O25" i="4"/>
  <c r="L45" i="4"/>
  <c r="M45" i="4"/>
  <c r="N45" i="4"/>
  <c r="O48" i="4"/>
  <c r="P48" i="4"/>
  <c r="L49" i="4"/>
  <c r="L47" i="4" s="1"/>
  <c r="M49" i="4"/>
  <c r="N49" i="4"/>
  <c r="O51" i="4"/>
  <c r="P51" i="4"/>
  <c r="L52" i="4"/>
  <c r="O52" i="4" s="1"/>
  <c r="M52" i="4"/>
  <c r="P52" i="4" s="1"/>
  <c r="N52" i="4"/>
  <c r="L60" i="4"/>
  <c r="M60" i="4"/>
  <c r="P60" i="4" s="1"/>
  <c r="N60" i="4"/>
  <c r="O63" i="4"/>
  <c r="P63" i="4"/>
  <c r="L64" i="4"/>
  <c r="M64" i="4"/>
  <c r="M62" i="4" s="1"/>
  <c r="N64" i="4"/>
  <c r="N62" i="4" s="1"/>
  <c r="O66" i="4"/>
  <c r="P66" i="4"/>
  <c r="L67" i="4"/>
  <c r="O67" i="4" s="1"/>
  <c r="M67" i="4"/>
  <c r="M65" i="4" s="1"/>
  <c r="P65" i="4" s="1"/>
  <c r="N67" i="4"/>
  <c r="N65" i="4" s="1"/>
  <c r="L73" i="4"/>
  <c r="O73" i="4" s="1"/>
  <c r="M73" i="4"/>
  <c r="N73" i="4"/>
  <c r="O76" i="4"/>
  <c r="P76" i="4"/>
  <c r="L77" i="4"/>
  <c r="L75" i="4" s="1"/>
  <c r="O75" i="4" s="1"/>
  <c r="M77" i="4"/>
  <c r="M75" i="4" s="1"/>
  <c r="N77" i="4"/>
  <c r="N75" i="4" s="1"/>
  <c r="O79" i="4"/>
  <c r="P79" i="4"/>
  <c r="L80" i="4"/>
  <c r="O80" i="4" s="1"/>
  <c r="M80" i="4"/>
  <c r="M78" i="4" s="1"/>
  <c r="P78" i="4" s="1"/>
  <c r="N80" i="4"/>
  <c r="N78" i="4" s="1"/>
  <c r="J82" i="4"/>
  <c r="J70" i="4" s="1"/>
  <c r="J83" i="4"/>
  <c r="J71" i="4" s="1"/>
  <c r="I84" i="4"/>
  <c r="I85" i="4"/>
  <c r="K85" i="4" s="1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O95" i="4" s="1"/>
  <c r="M95" i="4"/>
  <c r="P95" i="4" s="1"/>
  <c r="N95" i="4"/>
  <c r="O98" i="4"/>
  <c r="P98" i="4"/>
  <c r="L99" i="4"/>
  <c r="O99" i="4" s="1"/>
  <c r="M99" i="4"/>
  <c r="N99" i="4"/>
  <c r="N97" i="4" s="1"/>
  <c r="O101" i="4"/>
  <c r="P101" i="4"/>
  <c r="L102" i="4"/>
  <c r="L100" i="4" s="1"/>
  <c r="O100" i="4" s="1"/>
  <c r="M102" i="4"/>
  <c r="P102" i="4" s="1"/>
  <c r="N102" i="4"/>
  <c r="N100" i="4" s="1"/>
  <c r="I108" i="4"/>
  <c r="I92" i="4" s="1"/>
  <c r="K92" i="4" s="1"/>
  <c r="I109" i="4"/>
  <c r="I93" i="4" s="1"/>
  <c r="K93" i="4" s="1"/>
  <c r="I117" i="4"/>
  <c r="K117" i="4" s="1"/>
  <c r="L126" i="4"/>
  <c r="O126" i="4" s="1"/>
  <c r="M126" i="4"/>
  <c r="N126" i="4"/>
  <c r="P126" i="4"/>
  <c r="O129" i="4"/>
  <c r="P129" i="4"/>
  <c r="L130" i="4"/>
  <c r="L128" i="4" s="1"/>
  <c r="O128" i="4" s="1"/>
  <c r="M130" i="4"/>
  <c r="M128" i="4" s="1"/>
  <c r="P128" i="4" s="1"/>
  <c r="N130" i="4"/>
  <c r="N128" i="4" s="1"/>
  <c r="O132" i="4"/>
  <c r="P132" i="4"/>
  <c r="L133" i="4"/>
  <c r="L131" i="4" s="1"/>
  <c r="O131" i="4" s="1"/>
  <c r="M133" i="4"/>
  <c r="M131" i="4" s="1"/>
  <c r="P131" i="4" s="1"/>
  <c r="N133" i="4"/>
  <c r="N131" i="4" s="1"/>
  <c r="J136" i="4"/>
  <c r="J137" i="4"/>
  <c r="J138" i="4"/>
  <c r="L140" i="4"/>
  <c r="M140" i="4"/>
  <c r="N140" i="4"/>
  <c r="O140" i="4"/>
  <c r="O143" i="4"/>
  <c r="P143" i="4"/>
  <c r="L144" i="4"/>
  <c r="L142" i="4" s="1"/>
  <c r="M144" i="4"/>
  <c r="M142" i="4" s="1"/>
  <c r="N144" i="4"/>
  <c r="O146" i="4"/>
  <c r="P146" i="4"/>
  <c r="L147" i="4"/>
  <c r="O147" i="4" s="1"/>
  <c r="M147" i="4"/>
  <c r="M145" i="4" s="1"/>
  <c r="P145" i="4" s="1"/>
  <c r="N147" i="4"/>
  <c r="N145" i="4" s="1"/>
  <c r="I150" i="4"/>
  <c r="K150" i="4" s="1"/>
  <c r="I151" i="4"/>
  <c r="K151" i="4" s="1"/>
  <c r="I152" i="4"/>
  <c r="K152" i="4" s="1"/>
  <c r="I153" i="4"/>
  <c r="I138" i="4" s="1"/>
  <c r="K138" i="4" s="1"/>
  <c r="I154" i="4"/>
  <c r="K154" i="4" s="1"/>
  <c r="J156" i="4"/>
  <c r="L158" i="4"/>
  <c r="M158" i="4"/>
  <c r="N158" i="4"/>
  <c r="P158" i="4"/>
  <c r="O161" i="4"/>
  <c r="P161" i="4"/>
  <c r="L162" i="4"/>
  <c r="M162" i="4"/>
  <c r="M160" i="4" s="1"/>
  <c r="P160" i="4" s="1"/>
  <c r="N162" i="4"/>
  <c r="N160" i="4" s="1"/>
  <c r="O164" i="4"/>
  <c r="P164" i="4"/>
  <c r="L165" i="4"/>
  <c r="O165" i="4" s="1"/>
  <c r="M165" i="4"/>
  <c r="M163" i="4" s="1"/>
  <c r="P163" i="4" s="1"/>
  <c r="N165" i="4"/>
  <c r="I167" i="4"/>
  <c r="K167" i="4" s="1"/>
  <c r="I168" i="4"/>
  <c r="K168" i="4" s="1"/>
  <c r="I169" i="4"/>
  <c r="I156" i="4" s="1"/>
  <c r="K156" i="4" s="1"/>
  <c r="J172" i="4"/>
  <c r="L174" i="4"/>
  <c r="M174" i="4"/>
  <c r="P174" i="4" s="1"/>
  <c r="N174" i="4"/>
  <c r="O174" i="4"/>
  <c r="O177" i="4"/>
  <c r="P177" i="4"/>
  <c r="L178" i="4"/>
  <c r="L176" i="4" s="1"/>
  <c r="M178" i="4"/>
  <c r="M176" i="4" s="1"/>
  <c r="N178" i="4"/>
  <c r="N176" i="4" s="1"/>
  <c r="O180" i="4"/>
  <c r="P180" i="4"/>
  <c r="L181" i="4"/>
  <c r="O181" i="4" s="1"/>
  <c r="M181" i="4"/>
  <c r="M179" i="4" s="1"/>
  <c r="P179" i="4" s="1"/>
  <c r="N181" i="4"/>
  <c r="N179" i="4" s="1"/>
  <c r="I183" i="4"/>
  <c r="K183" i="4" s="1"/>
  <c r="K184" i="4"/>
  <c r="L187" i="4"/>
  <c r="M187" i="4"/>
  <c r="P187" i="4" s="1"/>
  <c r="N187" i="4"/>
  <c r="O190" i="4"/>
  <c r="P190" i="4"/>
  <c r="L191" i="4"/>
  <c r="M191" i="4"/>
  <c r="M189" i="4" s="1"/>
  <c r="N191" i="4"/>
  <c r="O193" i="4"/>
  <c r="P193" i="4"/>
  <c r="L194" i="4"/>
  <c r="L192" i="4" s="1"/>
  <c r="O192" i="4" s="1"/>
  <c r="M194" i="4"/>
  <c r="M192" i="4" s="1"/>
  <c r="P192" i="4" s="1"/>
  <c r="N194" i="4"/>
  <c r="N192" i="4" s="1"/>
  <c r="J195" i="4"/>
  <c r="L196" i="4"/>
  <c r="O196" i="4" s="1"/>
  <c r="P196" i="4"/>
  <c r="I198" i="4"/>
  <c r="K198" i="4" s="1"/>
  <c r="J199" i="4"/>
  <c r="J202" i="4"/>
  <c r="N203" i="4"/>
  <c r="P203" i="4"/>
  <c r="L204" i="4"/>
  <c r="L205" i="4"/>
  <c r="L206" i="4"/>
  <c r="L207" i="4"/>
  <c r="I209" i="4"/>
  <c r="K209" i="4" s="1"/>
  <c r="I211" i="4"/>
  <c r="K211" i="4" s="1"/>
  <c r="I212" i="4"/>
  <c r="K212" i="4" s="1"/>
  <c r="J213" i="4"/>
  <c r="N214" i="4"/>
  <c r="P214" i="4"/>
  <c r="L215" i="4"/>
  <c r="L216" i="4"/>
  <c r="L217" i="4"/>
  <c r="I219" i="4"/>
  <c r="K219" i="4" s="1"/>
  <c r="I220" i="4"/>
  <c r="I213" i="4" s="1"/>
  <c r="K213" i="4" s="1"/>
  <c r="J221" i="4"/>
  <c r="N222" i="4"/>
  <c r="P222" i="4"/>
  <c r="L223" i="4"/>
  <c r="L224" i="4"/>
  <c r="L225" i="4"/>
  <c r="I228" i="4"/>
  <c r="K228" i="4" s="1"/>
  <c r="I229" i="4"/>
  <c r="I221" i="4" s="1"/>
  <c r="K221" i="4" s="1"/>
  <c r="I230" i="4"/>
  <c r="K230" i="4" s="1"/>
  <c r="N233" i="4"/>
  <c r="N234" i="4"/>
  <c r="N235" i="4"/>
  <c r="N236" i="4"/>
  <c r="J238" i="4"/>
  <c r="J240" i="4"/>
  <c r="J241" i="4"/>
  <c r="J242" i="4"/>
  <c r="N243" i="4"/>
  <c r="N232" i="4" s="1"/>
  <c r="P243" i="4"/>
  <c r="L244" i="4"/>
  <c r="L245" i="4"/>
  <c r="L246" i="4"/>
  <c r="L247" i="4"/>
  <c r="I249" i="4"/>
  <c r="I242" i="4" s="1"/>
  <c r="I251" i="4"/>
  <c r="I240" i="4" s="1"/>
  <c r="K240" i="4" s="1"/>
  <c r="I252" i="4"/>
  <c r="K252" i="4" s="1"/>
  <c r="J253" i="4"/>
  <c r="J231" i="4" s="1"/>
  <c r="J185" i="4" s="1"/>
  <c r="N254" i="4"/>
  <c r="P254" i="4"/>
  <c r="L255" i="4"/>
  <c r="L256" i="4"/>
  <c r="L257" i="4"/>
  <c r="L258" i="4"/>
  <c r="I260" i="4"/>
  <c r="I253" i="4" s="1"/>
  <c r="K253" i="4" s="1"/>
  <c r="K262" i="4"/>
  <c r="K263" i="4"/>
  <c r="I265" i="4"/>
  <c r="K265" i="4" s="1"/>
  <c r="J265" i="4"/>
  <c r="L267" i="4"/>
  <c r="O267" i="4" s="1"/>
  <c r="M267" i="4"/>
  <c r="P267" i="4" s="1"/>
  <c r="N267" i="4"/>
  <c r="O270" i="4"/>
  <c r="P270" i="4"/>
  <c r="L271" i="4"/>
  <c r="L269" i="4" s="1"/>
  <c r="O269" i="4" s="1"/>
  <c r="M271" i="4"/>
  <c r="M269" i="4" s="1"/>
  <c r="P269" i="4" s="1"/>
  <c r="N271" i="4"/>
  <c r="N269" i="4" s="1"/>
  <c r="O273" i="4"/>
  <c r="P273" i="4"/>
  <c r="L274" i="4"/>
  <c r="L272" i="4" s="1"/>
  <c r="O272" i="4" s="1"/>
  <c r="M274" i="4"/>
  <c r="P274" i="4" s="1"/>
  <c r="N274" i="4"/>
  <c r="N272" i="4" s="1"/>
  <c r="J281" i="4"/>
  <c r="L283" i="4"/>
  <c r="M283" i="4"/>
  <c r="N283" i="4"/>
  <c r="O283" i="4"/>
  <c r="O286" i="4"/>
  <c r="P286" i="4"/>
  <c r="L287" i="4"/>
  <c r="L285" i="4" s="1"/>
  <c r="M287" i="4"/>
  <c r="N287" i="4"/>
  <c r="O289" i="4"/>
  <c r="P289" i="4"/>
  <c r="L290" i="4"/>
  <c r="L288" i="4" s="1"/>
  <c r="O288" i="4" s="1"/>
  <c r="M290" i="4"/>
  <c r="M288" i="4" s="1"/>
  <c r="P288" i="4" s="1"/>
  <c r="N290" i="4"/>
  <c r="N288" i="4" s="1"/>
  <c r="I292" i="4"/>
  <c r="I281" i="4" s="1"/>
  <c r="K281" i="4" s="1"/>
  <c r="I293" i="4"/>
  <c r="I280" i="4" s="1"/>
  <c r="J293" i="4"/>
  <c r="J280" i="4" s="1"/>
  <c r="I295" i="4"/>
  <c r="K295" i="4" s="1"/>
  <c r="I296" i="4"/>
  <c r="K296" i="4" s="1"/>
  <c r="J302" i="4"/>
  <c r="L304" i="4"/>
  <c r="O304" i="4" s="1"/>
  <c r="M304" i="4"/>
  <c r="N304" i="4"/>
  <c r="O307" i="4"/>
  <c r="P307" i="4"/>
  <c r="L308" i="4"/>
  <c r="L306" i="4" s="1"/>
  <c r="M308" i="4"/>
  <c r="N308" i="4"/>
  <c r="N306" i="4" s="1"/>
  <c r="O310" i="4"/>
  <c r="P310" i="4"/>
  <c r="L311" i="4"/>
  <c r="L309" i="4" s="1"/>
  <c r="O309" i="4" s="1"/>
  <c r="M311" i="4"/>
  <c r="P311" i="4" s="1"/>
  <c r="N311" i="4"/>
  <c r="N309" i="4" s="1"/>
  <c r="I314" i="4"/>
  <c r="I302" i="4" s="1"/>
  <c r="K302" i="4" s="1"/>
  <c r="I315" i="4"/>
  <c r="K315" i="4" s="1"/>
  <c r="I316" i="4"/>
  <c r="K316" i="4" s="1"/>
  <c r="I317" i="4"/>
  <c r="K317" i="4" s="1"/>
  <c r="J319" i="4"/>
  <c r="L321" i="4"/>
  <c r="O321" i="4" s="1"/>
  <c r="M321" i="4"/>
  <c r="N321" i="4"/>
  <c r="P321" i="4"/>
  <c r="O324" i="4"/>
  <c r="P324" i="4"/>
  <c r="L325" i="4"/>
  <c r="L323" i="4" s="1"/>
  <c r="O323" i="4" s="1"/>
  <c r="M325" i="4"/>
  <c r="M323" i="4" s="1"/>
  <c r="P323" i="4" s="1"/>
  <c r="N325" i="4"/>
  <c r="N323" i="4" s="1"/>
  <c r="O327" i="4"/>
  <c r="P327" i="4"/>
  <c r="L328" i="4"/>
  <c r="L326" i="4" s="1"/>
  <c r="O326" i="4" s="1"/>
  <c r="M328" i="4"/>
  <c r="P328" i="4" s="1"/>
  <c r="N328" i="4"/>
  <c r="N326" i="4" s="1"/>
  <c r="I330" i="4"/>
  <c r="I319" i="4" s="1"/>
  <c r="K319" i="4" s="1"/>
  <c r="L334" i="4"/>
  <c r="M334" i="4"/>
  <c r="P334" i="4" s="1"/>
  <c r="N334" i="4"/>
  <c r="O337" i="4"/>
  <c r="P337" i="4"/>
  <c r="L338" i="4"/>
  <c r="M338" i="4"/>
  <c r="M336" i="4" s="1"/>
  <c r="N338" i="4"/>
  <c r="O340" i="4"/>
  <c r="P340" i="4"/>
  <c r="L341" i="4"/>
  <c r="L339" i="4" s="1"/>
  <c r="O339" i="4" s="1"/>
  <c r="M341" i="4"/>
  <c r="M339" i="4" s="1"/>
  <c r="P339" i="4" s="1"/>
  <c r="N341" i="4"/>
  <c r="N339" i="4" s="1"/>
  <c r="I344" i="4"/>
  <c r="J344" i="4"/>
  <c r="I346" i="4"/>
  <c r="J346" i="4"/>
  <c r="J347" i="4"/>
  <c r="J348" i="4"/>
  <c r="J349" i="4"/>
  <c r="D350" i="4"/>
  <c r="J352" i="4"/>
  <c r="J353" i="4"/>
  <c r="D354" i="4"/>
  <c r="L357" i="4"/>
  <c r="O357" i="4" s="1"/>
  <c r="M357" i="4"/>
  <c r="N357" i="4"/>
  <c r="P357" i="4"/>
  <c r="O360" i="4"/>
  <c r="P360" i="4"/>
  <c r="L361" i="4"/>
  <c r="L359" i="4" s="1"/>
  <c r="M361" i="4"/>
  <c r="M359" i="4" s="1"/>
  <c r="N361" i="4"/>
  <c r="N359" i="4" s="1"/>
  <c r="O363" i="4"/>
  <c r="P363" i="4"/>
  <c r="L364" i="4"/>
  <c r="L362" i="4" s="1"/>
  <c r="O362" i="4" s="1"/>
  <c r="M364" i="4"/>
  <c r="M362" i="4" s="1"/>
  <c r="P362" i="4" s="1"/>
  <c r="N364" i="4"/>
  <c r="N362" i="4" s="1"/>
  <c r="J367" i="4"/>
  <c r="K367" i="4"/>
  <c r="I368" i="4"/>
  <c r="J368" i="4"/>
  <c r="I369" i="4"/>
  <c r="J369" i="4"/>
  <c r="J370" i="4"/>
  <c r="K370" i="4"/>
  <c r="I371" i="4"/>
  <c r="I365" i="4" s="1"/>
  <c r="J371" i="4"/>
  <c r="J365" i="4" s="1"/>
  <c r="J372" i="4"/>
  <c r="K372" i="4"/>
  <c r="D373" i="4"/>
  <c r="I376" i="4"/>
  <c r="K376" i="4" s="1"/>
  <c r="J376" i="4"/>
  <c r="L378" i="4"/>
  <c r="O378" i="4" s="1"/>
  <c r="M378" i="4"/>
  <c r="N378" i="4"/>
  <c r="P378" i="4"/>
  <c r="O381" i="4"/>
  <c r="P381" i="4"/>
  <c r="L382" i="4"/>
  <c r="M382" i="4"/>
  <c r="M380" i="4" s="1"/>
  <c r="P380" i="4" s="1"/>
  <c r="N382" i="4"/>
  <c r="N380" i="4" s="1"/>
  <c r="O384" i="4"/>
  <c r="P384" i="4"/>
  <c r="L385" i="4"/>
  <c r="L383" i="4" s="1"/>
  <c r="O383" i="4" s="1"/>
  <c r="M385" i="4"/>
  <c r="M383" i="4" s="1"/>
  <c r="P383" i="4" s="1"/>
  <c r="N385" i="4"/>
  <c r="N383" i="4" s="1"/>
  <c r="K387" i="4"/>
  <c r="K388" i="4"/>
  <c r="A391" i="4"/>
  <c r="A3" i="3"/>
  <c r="L22" i="3"/>
  <c r="M22" i="3"/>
  <c r="P22" i="3" s="1"/>
  <c r="N22" i="3"/>
  <c r="L25" i="3"/>
  <c r="O25" i="3" s="1"/>
  <c r="M25" i="3"/>
  <c r="N25" i="3"/>
  <c r="L45" i="3"/>
  <c r="M45" i="3"/>
  <c r="N45" i="3"/>
  <c r="O45" i="3"/>
  <c r="O48" i="3"/>
  <c r="P48" i="3"/>
  <c r="L49" i="3"/>
  <c r="M49" i="3"/>
  <c r="M47" i="3" s="1"/>
  <c r="N49" i="3"/>
  <c r="N47" i="3" s="1"/>
  <c r="O51" i="3"/>
  <c r="P51" i="3"/>
  <c r="L52" i="3"/>
  <c r="M52" i="3"/>
  <c r="P52" i="3" s="1"/>
  <c r="N52" i="3"/>
  <c r="N50" i="3" s="1"/>
  <c r="L60" i="3"/>
  <c r="M60" i="3"/>
  <c r="N60" i="3"/>
  <c r="O60" i="3"/>
  <c r="P60" i="3"/>
  <c r="O63" i="3"/>
  <c r="P63" i="3"/>
  <c r="L64" i="3"/>
  <c r="M64" i="3"/>
  <c r="M62" i="3" s="1"/>
  <c r="N64" i="3"/>
  <c r="O66" i="3"/>
  <c r="P66" i="3"/>
  <c r="L67" i="3"/>
  <c r="M67" i="3"/>
  <c r="N67" i="3"/>
  <c r="N65" i="3" s="1"/>
  <c r="L73" i="3"/>
  <c r="M73" i="3"/>
  <c r="N73" i="3"/>
  <c r="O76" i="3"/>
  <c r="P76" i="3"/>
  <c r="L77" i="3"/>
  <c r="M77" i="3"/>
  <c r="M75" i="3" s="1"/>
  <c r="N77" i="3"/>
  <c r="N75" i="3" s="1"/>
  <c r="O79" i="3"/>
  <c r="P79" i="3"/>
  <c r="L80" i="3"/>
  <c r="O80" i="3" s="1"/>
  <c r="M80" i="3"/>
  <c r="M78" i="3" s="1"/>
  <c r="P78" i="3" s="1"/>
  <c r="N80" i="3"/>
  <c r="J82" i="3"/>
  <c r="J70" i="3" s="1"/>
  <c r="J83" i="3"/>
  <c r="J71" i="3" s="1"/>
  <c r="I84" i="3"/>
  <c r="K84" i="3" s="1"/>
  <c r="I85" i="3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O95" i="3" s="1"/>
  <c r="M95" i="3"/>
  <c r="P95" i="3" s="1"/>
  <c r="N95" i="3"/>
  <c r="O98" i="3"/>
  <c r="P98" i="3"/>
  <c r="L99" i="3"/>
  <c r="L97" i="3" s="1"/>
  <c r="O97" i="3" s="1"/>
  <c r="M99" i="3"/>
  <c r="P99" i="3" s="1"/>
  <c r="N99" i="3"/>
  <c r="N97" i="3" s="1"/>
  <c r="O101" i="3"/>
  <c r="P101" i="3"/>
  <c r="L102" i="3"/>
  <c r="M102" i="3"/>
  <c r="M100" i="3" s="1"/>
  <c r="P100" i="3" s="1"/>
  <c r="N102" i="3"/>
  <c r="N100" i="3" s="1"/>
  <c r="I108" i="3"/>
  <c r="K108" i="3" s="1"/>
  <c r="I109" i="3"/>
  <c r="I93" i="3" s="1"/>
  <c r="K93" i="3" s="1"/>
  <c r="I117" i="3"/>
  <c r="K117" i="3" s="1"/>
  <c r="L126" i="3"/>
  <c r="M126" i="3"/>
  <c r="N126" i="3"/>
  <c r="O126" i="3"/>
  <c r="P126" i="3"/>
  <c r="O129" i="3"/>
  <c r="P129" i="3"/>
  <c r="L130" i="3"/>
  <c r="L128" i="3" s="1"/>
  <c r="O128" i="3" s="1"/>
  <c r="M130" i="3"/>
  <c r="M128" i="3" s="1"/>
  <c r="P128" i="3" s="1"/>
  <c r="N130" i="3"/>
  <c r="O132" i="3"/>
  <c r="P132" i="3"/>
  <c r="L133" i="3"/>
  <c r="M133" i="3"/>
  <c r="P133" i="3" s="1"/>
  <c r="N133" i="3"/>
  <c r="N131" i="3" s="1"/>
  <c r="J136" i="3"/>
  <c r="J137" i="3"/>
  <c r="J138" i="3"/>
  <c r="L140" i="3"/>
  <c r="O140" i="3" s="1"/>
  <c r="M140" i="3"/>
  <c r="N140" i="3"/>
  <c r="P140" i="3"/>
  <c r="O143" i="3"/>
  <c r="P143" i="3"/>
  <c r="L144" i="3"/>
  <c r="L142" i="3" s="1"/>
  <c r="M144" i="3"/>
  <c r="N144" i="3"/>
  <c r="N142" i="3" s="1"/>
  <c r="O146" i="3"/>
  <c r="P146" i="3"/>
  <c r="L147" i="3"/>
  <c r="L145" i="3" s="1"/>
  <c r="O145" i="3" s="1"/>
  <c r="M147" i="3"/>
  <c r="M145" i="3" s="1"/>
  <c r="P145" i="3" s="1"/>
  <c r="N147" i="3"/>
  <c r="I150" i="3"/>
  <c r="K150" i="3" s="1"/>
  <c r="I151" i="3"/>
  <c r="K151" i="3" s="1"/>
  <c r="I152" i="3"/>
  <c r="I137" i="3" s="1"/>
  <c r="I153" i="3"/>
  <c r="I138" i="3" s="1"/>
  <c r="I154" i="3"/>
  <c r="I136" i="3" s="1"/>
  <c r="K136" i="3" s="1"/>
  <c r="J156" i="3"/>
  <c r="L158" i="3"/>
  <c r="M158" i="3"/>
  <c r="N158" i="3"/>
  <c r="O158" i="3"/>
  <c r="P158" i="3"/>
  <c r="O161" i="3"/>
  <c r="P161" i="3"/>
  <c r="L162" i="3"/>
  <c r="L160" i="3" s="1"/>
  <c r="M162" i="3"/>
  <c r="M160" i="3" s="1"/>
  <c r="P160" i="3" s="1"/>
  <c r="N162" i="3"/>
  <c r="N160" i="3" s="1"/>
  <c r="O164" i="3"/>
  <c r="P164" i="3"/>
  <c r="L165" i="3"/>
  <c r="O165" i="3" s="1"/>
  <c r="M165" i="3"/>
  <c r="M163" i="3" s="1"/>
  <c r="P163" i="3" s="1"/>
  <c r="N165" i="3"/>
  <c r="I167" i="3"/>
  <c r="I169" i="3" s="1"/>
  <c r="K169" i="3" s="1"/>
  <c r="J172" i="3"/>
  <c r="L174" i="3"/>
  <c r="O174" i="3" s="1"/>
  <c r="M174" i="3"/>
  <c r="N174" i="3"/>
  <c r="O177" i="3"/>
  <c r="P177" i="3"/>
  <c r="L178" i="3"/>
  <c r="M178" i="3"/>
  <c r="M176" i="3" s="1"/>
  <c r="N178" i="3"/>
  <c r="N176" i="3" s="1"/>
  <c r="O180" i="3"/>
  <c r="P180" i="3"/>
  <c r="L181" i="3"/>
  <c r="O181" i="3" s="1"/>
  <c r="M181" i="3"/>
  <c r="M179" i="3" s="1"/>
  <c r="P179" i="3" s="1"/>
  <c r="N181" i="3"/>
  <c r="N179" i="3" s="1"/>
  <c r="I183" i="3"/>
  <c r="K183" i="3" s="1"/>
  <c r="K184" i="3"/>
  <c r="L187" i="3"/>
  <c r="O187" i="3" s="1"/>
  <c r="M187" i="3"/>
  <c r="N187" i="3"/>
  <c r="P187" i="3"/>
  <c r="O190" i="3"/>
  <c r="P190" i="3"/>
  <c r="L191" i="3"/>
  <c r="L189" i="3" s="1"/>
  <c r="M191" i="3"/>
  <c r="M189" i="3" s="1"/>
  <c r="N191" i="3"/>
  <c r="N189" i="3" s="1"/>
  <c r="O193" i="3"/>
  <c r="P193" i="3"/>
  <c r="L194" i="3"/>
  <c r="L192" i="3" s="1"/>
  <c r="O192" i="3" s="1"/>
  <c r="M194" i="3"/>
  <c r="M192" i="3" s="1"/>
  <c r="P192" i="3" s="1"/>
  <c r="N194" i="3"/>
  <c r="N192" i="3" s="1"/>
  <c r="J195" i="3"/>
  <c r="L196" i="3"/>
  <c r="O196" i="3" s="1"/>
  <c r="P196" i="3"/>
  <c r="I198" i="3"/>
  <c r="K198" i="3" s="1"/>
  <c r="J199" i="3"/>
  <c r="J202" i="3"/>
  <c r="N203" i="3"/>
  <c r="P203" i="3"/>
  <c r="L204" i="3"/>
  <c r="L205" i="3"/>
  <c r="L206" i="3"/>
  <c r="L207" i="3"/>
  <c r="I209" i="3"/>
  <c r="I202" i="3" s="1"/>
  <c r="I211" i="3"/>
  <c r="K211" i="3" s="1"/>
  <c r="I212" i="3"/>
  <c r="K212" i="3" s="1"/>
  <c r="J213" i="3"/>
  <c r="N214" i="3"/>
  <c r="P214" i="3"/>
  <c r="L215" i="3"/>
  <c r="L216" i="3"/>
  <c r="L217" i="3"/>
  <c r="I219" i="3"/>
  <c r="K219" i="3" s="1"/>
  <c r="I220" i="3"/>
  <c r="I213" i="3" s="1"/>
  <c r="K213" i="3" s="1"/>
  <c r="J221" i="3"/>
  <c r="N222" i="3"/>
  <c r="P222" i="3"/>
  <c r="L223" i="3"/>
  <c r="L224" i="3"/>
  <c r="L225" i="3"/>
  <c r="I228" i="3"/>
  <c r="K228" i="3" s="1"/>
  <c r="I229" i="3"/>
  <c r="I230" i="3"/>
  <c r="K230" i="3" s="1"/>
  <c r="N233" i="3"/>
  <c r="N234" i="3"/>
  <c r="N235" i="3"/>
  <c r="N236" i="3"/>
  <c r="J238" i="3"/>
  <c r="I240" i="3"/>
  <c r="K240" i="3" s="1"/>
  <c r="J240" i="3"/>
  <c r="I241" i="3"/>
  <c r="K241" i="3" s="1"/>
  <c r="J241" i="3"/>
  <c r="J242" i="3"/>
  <c r="N243" i="3"/>
  <c r="P243" i="3"/>
  <c r="L244" i="3"/>
  <c r="L245" i="3"/>
  <c r="L246" i="3"/>
  <c r="L247" i="3"/>
  <c r="I249" i="3"/>
  <c r="K249" i="3" s="1"/>
  <c r="K251" i="3"/>
  <c r="K252" i="3"/>
  <c r="J253" i="3"/>
  <c r="J231" i="3" s="1"/>
  <c r="J185" i="3" s="1"/>
  <c r="N254" i="3"/>
  <c r="P254" i="3"/>
  <c r="L255" i="3"/>
  <c r="L256" i="3"/>
  <c r="L257" i="3"/>
  <c r="L258" i="3"/>
  <c r="I260" i="3"/>
  <c r="K260" i="3" s="1"/>
  <c r="K262" i="3"/>
  <c r="K263" i="3"/>
  <c r="I265" i="3"/>
  <c r="K265" i="3" s="1"/>
  <c r="J265" i="3"/>
  <c r="L267" i="3"/>
  <c r="M267" i="3"/>
  <c r="P267" i="3" s="1"/>
  <c r="N267" i="3"/>
  <c r="O270" i="3"/>
  <c r="P270" i="3"/>
  <c r="L271" i="3"/>
  <c r="M271" i="3"/>
  <c r="M269" i="3" s="1"/>
  <c r="P269" i="3" s="1"/>
  <c r="N271" i="3"/>
  <c r="N269" i="3" s="1"/>
  <c r="O273" i="3"/>
  <c r="P273" i="3"/>
  <c r="L274" i="3"/>
  <c r="L272" i="3" s="1"/>
  <c r="O272" i="3" s="1"/>
  <c r="M274" i="3"/>
  <c r="M272" i="3" s="1"/>
  <c r="P272" i="3" s="1"/>
  <c r="N274" i="3"/>
  <c r="J281" i="3"/>
  <c r="L283" i="3"/>
  <c r="O283" i="3" s="1"/>
  <c r="M283" i="3"/>
  <c r="N283" i="3"/>
  <c r="O286" i="3"/>
  <c r="P286" i="3"/>
  <c r="L287" i="3"/>
  <c r="M287" i="3"/>
  <c r="M285" i="3" s="1"/>
  <c r="N287" i="3"/>
  <c r="N285" i="3" s="1"/>
  <c r="O289" i="3"/>
  <c r="P289" i="3"/>
  <c r="L290" i="3"/>
  <c r="O290" i="3" s="1"/>
  <c r="M290" i="3"/>
  <c r="M288" i="3" s="1"/>
  <c r="P288" i="3" s="1"/>
  <c r="N290" i="3"/>
  <c r="N288" i="3" s="1"/>
  <c r="I292" i="3"/>
  <c r="I281" i="3" s="1"/>
  <c r="K281" i="3" s="1"/>
  <c r="I293" i="3"/>
  <c r="J293" i="3"/>
  <c r="J280" i="3" s="1"/>
  <c r="I295" i="3"/>
  <c r="K295" i="3" s="1"/>
  <c r="I296" i="3"/>
  <c r="K296" i="3" s="1"/>
  <c r="J302" i="3"/>
  <c r="L304" i="3"/>
  <c r="M304" i="3"/>
  <c r="P304" i="3" s="1"/>
  <c r="N304" i="3"/>
  <c r="O304" i="3"/>
  <c r="O307" i="3"/>
  <c r="P307" i="3"/>
  <c r="L308" i="3"/>
  <c r="M308" i="3"/>
  <c r="N308" i="3"/>
  <c r="N306" i="3" s="1"/>
  <c r="O310" i="3"/>
  <c r="P310" i="3"/>
  <c r="L311" i="3"/>
  <c r="L309" i="3" s="1"/>
  <c r="O309" i="3" s="1"/>
  <c r="M311" i="3"/>
  <c r="M309" i="3" s="1"/>
  <c r="P309" i="3" s="1"/>
  <c r="N311" i="3"/>
  <c r="I314" i="3"/>
  <c r="K314" i="3" s="1"/>
  <c r="I315" i="3"/>
  <c r="K315" i="3" s="1"/>
  <c r="I316" i="3"/>
  <c r="K316" i="3" s="1"/>
  <c r="I317" i="3"/>
  <c r="K317" i="3" s="1"/>
  <c r="J319" i="3"/>
  <c r="L321" i="3"/>
  <c r="O321" i="3" s="1"/>
  <c r="M321" i="3"/>
  <c r="P321" i="3" s="1"/>
  <c r="N321" i="3"/>
  <c r="O324" i="3"/>
  <c r="P324" i="3"/>
  <c r="L325" i="3"/>
  <c r="L323" i="3" s="1"/>
  <c r="O323" i="3" s="1"/>
  <c r="M325" i="3"/>
  <c r="M323" i="3" s="1"/>
  <c r="P323" i="3" s="1"/>
  <c r="N325" i="3"/>
  <c r="N323" i="3" s="1"/>
  <c r="O327" i="3"/>
  <c r="P327" i="3"/>
  <c r="L328" i="3"/>
  <c r="L326" i="3" s="1"/>
  <c r="O326" i="3" s="1"/>
  <c r="M328" i="3"/>
  <c r="M326" i="3" s="1"/>
  <c r="P326" i="3" s="1"/>
  <c r="N328" i="3"/>
  <c r="N326" i="3" s="1"/>
  <c r="I330" i="3"/>
  <c r="I319" i="3" s="1"/>
  <c r="K319" i="3" s="1"/>
  <c r="L334" i="3"/>
  <c r="M334" i="3"/>
  <c r="P334" i="3" s="1"/>
  <c r="N334" i="3"/>
  <c r="O334" i="3"/>
  <c r="O337" i="3"/>
  <c r="P337" i="3"/>
  <c r="L338" i="3"/>
  <c r="L336" i="3" s="1"/>
  <c r="M338" i="3"/>
  <c r="M336" i="3" s="1"/>
  <c r="N338" i="3"/>
  <c r="N336" i="3" s="1"/>
  <c r="O340" i="3"/>
  <c r="P340" i="3"/>
  <c r="L341" i="3"/>
  <c r="L339" i="3" s="1"/>
  <c r="O339" i="3" s="1"/>
  <c r="M341" i="3"/>
  <c r="N341" i="3"/>
  <c r="N339" i="3" s="1"/>
  <c r="I344" i="3"/>
  <c r="I332" i="3" s="1"/>
  <c r="J344" i="3"/>
  <c r="I346" i="3"/>
  <c r="J346" i="3"/>
  <c r="J347" i="3"/>
  <c r="J348" i="3"/>
  <c r="J349" i="3"/>
  <c r="D350" i="3"/>
  <c r="J352" i="3"/>
  <c r="J353" i="3"/>
  <c r="D354" i="3"/>
  <c r="L357" i="3"/>
  <c r="M357" i="3"/>
  <c r="P357" i="3" s="1"/>
  <c r="N357" i="3"/>
  <c r="O357" i="3"/>
  <c r="O360" i="3"/>
  <c r="P360" i="3"/>
  <c r="L361" i="3"/>
  <c r="L359" i="3" s="1"/>
  <c r="M361" i="3"/>
  <c r="M359" i="3" s="1"/>
  <c r="N361" i="3"/>
  <c r="N359" i="3" s="1"/>
  <c r="O363" i="3"/>
  <c r="P363" i="3"/>
  <c r="L364" i="3"/>
  <c r="L362" i="3" s="1"/>
  <c r="O362" i="3" s="1"/>
  <c r="M364" i="3"/>
  <c r="N364" i="3"/>
  <c r="N362" i="3" s="1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I376" i="3"/>
  <c r="J376" i="3"/>
  <c r="K376" i="3"/>
  <c r="L378" i="3"/>
  <c r="O378" i="3" s="1"/>
  <c r="M378" i="3"/>
  <c r="N378" i="3"/>
  <c r="O381" i="3"/>
  <c r="P381" i="3"/>
  <c r="L382" i="3"/>
  <c r="L380" i="3" s="1"/>
  <c r="O380" i="3" s="1"/>
  <c r="M382" i="3"/>
  <c r="P382" i="3" s="1"/>
  <c r="N382" i="3"/>
  <c r="N380" i="3" s="1"/>
  <c r="O384" i="3"/>
  <c r="P384" i="3"/>
  <c r="L385" i="3"/>
  <c r="O385" i="3" s="1"/>
  <c r="M385" i="3"/>
  <c r="P385" i="3" s="1"/>
  <c r="N385" i="3"/>
  <c r="N383" i="3" s="1"/>
  <c r="K387" i="3"/>
  <c r="K388" i="3"/>
  <c r="A391" i="3"/>
  <c r="A3" i="2"/>
  <c r="L22" i="2"/>
  <c r="M22" i="2"/>
  <c r="P22" i="2" s="1"/>
  <c r="N22" i="2"/>
  <c r="L25" i="2"/>
  <c r="O25" i="2" s="1"/>
  <c r="M25" i="2"/>
  <c r="N25" i="2"/>
  <c r="L45" i="2"/>
  <c r="O45" i="2" s="1"/>
  <c r="M45" i="2"/>
  <c r="P45" i="2" s="1"/>
  <c r="N45" i="2"/>
  <c r="O48" i="2"/>
  <c r="P48" i="2"/>
  <c r="L49" i="2"/>
  <c r="L47" i="2" s="1"/>
  <c r="M49" i="2"/>
  <c r="N49" i="2"/>
  <c r="N47" i="2" s="1"/>
  <c r="O51" i="2"/>
  <c r="P51" i="2"/>
  <c r="L52" i="2"/>
  <c r="M52" i="2"/>
  <c r="M50" i="2" s="1"/>
  <c r="P50" i="2" s="1"/>
  <c r="N52" i="2"/>
  <c r="L60" i="2"/>
  <c r="M60" i="2"/>
  <c r="N60" i="2"/>
  <c r="P60" i="2"/>
  <c r="O63" i="2"/>
  <c r="P63" i="2"/>
  <c r="L64" i="2"/>
  <c r="M64" i="2"/>
  <c r="N64" i="2"/>
  <c r="N62" i="2" s="1"/>
  <c r="O66" i="2"/>
  <c r="P66" i="2"/>
  <c r="L67" i="2"/>
  <c r="L65" i="2" s="1"/>
  <c r="O65" i="2" s="1"/>
  <c r="M67" i="2"/>
  <c r="N67" i="2"/>
  <c r="N65" i="2" s="1"/>
  <c r="J71" i="2"/>
  <c r="L73" i="2"/>
  <c r="M73" i="2"/>
  <c r="N73" i="2"/>
  <c r="O73" i="2"/>
  <c r="O76" i="2"/>
  <c r="P76" i="2"/>
  <c r="L77" i="2"/>
  <c r="M77" i="2"/>
  <c r="M75" i="2" s="1"/>
  <c r="P75" i="2" s="1"/>
  <c r="N77" i="2"/>
  <c r="N75" i="2" s="1"/>
  <c r="O79" i="2"/>
  <c r="P79" i="2"/>
  <c r="L80" i="2"/>
  <c r="M80" i="2"/>
  <c r="P80" i="2" s="1"/>
  <c r="N80" i="2"/>
  <c r="N78" i="2" s="1"/>
  <c r="J82" i="2"/>
  <c r="J70" i="2" s="1"/>
  <c r="J83" i="2"/>
  <c r="I84" i="2"/>
  <c r="K84" i="2" s="1"/>
  <c r="I85" i="2"/>
  <c r="K85" i="2" s="1"/>
  <c r="I86" i="2"/>
  <c r="K86" i="2" s="1"/>
  <c r="I87" i="2"/>
  <c r="K87" i="2" s="1"/>
  <c r="I88" i="2"/>
  <c r="K88" i="2" s="1"/>
  <c r="I89" i="2"/>
  <c r="K89" i="2" s="1"/>
  <c r="I90" i="2"/>
  <c r="K90" i="2" s="1"/>
  <c r="J92" i="2"/>
  <c r="J93" i="2"/>
  <c r="L95" i="2"/>
  <c r="O95" i="2" s="1"/>
  <c r="M95" i="2"/>
  <c r="P95" i="2" s="1"/>
  <c r="N95" i="2"/>
  <c r="O98" i="2"/>
  <c r="P98" i="2"/>
  <c r="L99" i="2"/>
  <c r="O99" i="2" s="1"/>
  <c r="M99" i="2"/>
  <c r="N99" i="2"/>
  <c r="N97" i="2" s="1"/>
  <c r="O101" i="2"/>
  <c r="P101" i="2"/>
  <c r="L102" i="2"/>
  <c r="L100" i="2" s="1"/>
  <c r="O100" i="2" s="1"/>
  <c r="M102" i="2"/>
  <c r="N102" i="2"/>
  <c r="N100" i="2" s="1"/>
  <c r="I108" i="2"/>
  <c r="K108" i="2" s="1"/>
  <c r="I109" i="2"/>
  <c r="K109" i="2" s="1"/>
  <c r="I117" i="2"/>
  <c r="K117" i="2" s="1"/>
  <c r="L126" i="2"/>
  <c r="M126" i="2"/>
  <c r="P126" i="2" s="1"/>
  <c r="N126" i="2"/>
  <c r="O126" i="2"/>
  <c r="O129" i="2"/>
  <c r="P129" i="2"/>
  <c r="L130" i="2"/>
  <c r="L128" i="2" s="1"/>
  <c r="O128" i="2" s="1"/>
  <c r="M130" i="2"/>
  <c r="N130" i="2"/>
  <c r="N128" i="2" s="1"/>
  <c r="O132" i="2"/>
  <c r="P132" i="2"/>
  <c r="L133" i="2"/>
  <c r="M133" i="2"/>
  <c r="M131" i="2" s="1"/>
  <c r="P131" i="2" s="1"/>
  <c r="N133" i="2"/>
  <c r="N131" i="2" s="1"/>
  <c r="J136" i="2"/>
  <c r="J137" i="2"/>
  <c r="J138" i="2"/>
  <c r="L140" i="2"/>
  <c r="M140" i="2"/>
  <c r="N140" i="2"/>
  <c r="O140" i="2"/>
  <c r="O143" i="2"/>
  <c r="P143" i="2"/>
  <c r="L144" i="2"/>
  <c r="O144" i="2" s="1"/>
  <c r="M144" i="2"/>
  <c r="N144" i="2"/>
  <c r="N142" i="2" s="1"/>
  <c r="O146" i="2"/>
  <c r="P146" i="2"/>
  <c r="L147" i="2"/>
  <c r="L145" i="2" s="1"/>
  <c r="O145" i="2" s="1"/>
  <c r="M147" i="2"/>
  <c r="M145" i="2" s="1"/>
  <c r="P145" i="2" s="1"/>
  <c r="N147" i="2"/>
  <c r="N145" i="2" s="1"/>
  <c r="I150" i="2"/>
  <c r="K150" i="2" s="1"/>
  <c r="I151" i="2"/>
  <c r="K151" i="2" s="1"/>
  <c r="I152" i="2"/>
  <c r="K152" i="2" s="1"/>
  <c r="I153" i="2"/>
  <c r="K153" i="2" s="1"/>
  <c r="I154" i="2"/>
  <c r="K154" i="2" s="1"/>
  <c r="J156" i="2"/>
  <c r="L158" i="2"/>
  <c r="O158" i="2" s="1"/>
  <c r="M158" i="2"/>
  <c r="N158" i="2"/>
  <c r="P158" i="2"/>
  <c r="O161" i="2"/>
  <c r="P161" i="2"/>
  <c r="L162" i="2"/>
  <c r="O162" i="2" s="1"/>
  <c r="M162" i="2"/>
  <c r="N162" i="2"/>
  <c r="O164" i="2"/>
  <c r="P164" i="2"/>
  <c r="L165" i="2"/>
  <c r="O165" i="2" s="1"/>
  <c r="M165" i="2"/>
  <c r="M163" i="2" s="1"/>
  <c r="P163" i="2" s="1"/>
  <c r="N165" i="2"/>
  <c r="N163" i="2" s="1"/>
  <c r="I167" i="2"/>
  <c r="K167" i="2" s="1"/>
  <c r="I168" i="2"/>
  <c r="K168" i="2" s="1"/>
  <c r="I169" i="2"/>
  <c r="J172" i="2"/>
  <c r="L174" i="2"/>
  <c r="O174" i="2" s="1"/>
  <c r="M174" i="2"/>
  <c r="N174" i="2"/>
  <c r="P174" i="2"/>
  <c r="O177" i="2"/>
  <c r="P177" i="2"/>
  <c r="L178" i="2"/>
  <c r="M178" i="2"/>
  <c r="N178" i="2"/>
  <c r="O180" i="2"/>
  <c r="P180" i="2"/>
  <c r="L181" i="2"/>
  <c r="O181" i="2" s="1"/>
  <c r="M181" i="2"/>
  <c r="M179" i="2" s="1"/>
  <c r="P179" i="2" s="1"/>
  <c r="N181" i="2"/>
  <c r="N179" i="2" s="1"/>
  <c r="I183" i="2"/>
  <c r="K183" i="2" s="1"/>
  <c r="K184" i="2"/>
  <c r="L187" i="2"/>
  <c r="M187" i="2"/>
  <c r="P187" i="2" s="1"/>
  <c r="N187" i="2"/>
  <c r="O187" i="2"/>
  <c r="O190" i="2"/>
  <c r="P190" i="2"/>
  <c r="L191" i="2"/>
  <c r="M191" i="2"/>
  <c r="M189" i="2" s="1"/>
  <c r="N191" i="2"/>
  <c r="N189" i="2" s="1"/>
  <c r="O193" i="2"/>
  <c r="P193" i="2"/>
  <c r="L194" i="2"/>
  <c r="L192" i="2" s="1"/>
  <c r="O192" i="2" s="1"/>
  <c r="M194" i="2"/>
  <c r="M192" i="2" s="1"/>
  <c r="P192" i="2" s="1"/>
  <c r="N194" i="2"/>
  <c r="N192" i="2" s="1"/>
  <c r="J195" i="2"/>
  <c r="L196" i="2"/>
  <c r="O196" i="2" s="1"/>
  <c r="P196" i="2"/>
  <c r="I198" i="2"/>
  <c r="K198" i="2" s="1"/>
  <c r="J199" i="2"/>
  <c r="J202" i="2"/>
  <c r="N203" i="2"/>
  <c r="P203" i="2"/>
  <c r="L204" i="2"/>
  <c r="L205" i="2"/>
  <c r="L206" i="2"/>
  <c r="L207" i="2"/>
  <c r="I209" i="2"/>
  <c r="K209" i="2" s="1"/>
  <c r="I211" i="2"/>
  <c r="K211" i="2" s="1"/>
  <c r="I212" i="2"/>
  <c r="K212" i="2" s="1"/>
  <c r="J213" i="2"/>
  <c r="N214" i="2"/>
  <c r="P214" i="2"/>
  <c r="L215" i="2"/>
  <c r="L216" i="2"/>
  <c r="L217" i="2"/>
  <c r="I219" i="2"/>
  <c r="K219" i="2" s="1"/>
  <c r="I220" i="2"/>
  <c r="K220" i="2" s="1"/>
  <c r="J221" i="2"/>
  <c r="N222" i="2"/>
  <c r="P222" i="2"/>
  <c r="L223" i="2"/>
  <c r="L224" i="2"/>
  <c r="L225" i="2"/>
  <c r="I228" i="2"/>
  <c r="K228" i="2" s="1"/>
  <c r="I229" i="2"/>
  <c r="I221" i="2" s="1"/>
  <c r="K221" i="2" s="1"/>
  <c r="I230" i="2"/>
  <c r="K230" i="2" s="1"/>
  <c r="N233" i="2"/>
  <c r="N234" i="2"/>
  <c r="N235" i="2"/>
  <c r="N236" i="2"/>
  <c r="J238" i="2"/>
  <c r="I240" i="2"/>
  <c r="K240" i="2" s="1"/>
  <c r="J240" i="2"/>
  <c r="I241" i="2"/>
  <c r="K241" i="2" s="1"/>
  <c r="J241" i="2"/>
  <c r="J242" i="2"/>
  <c r="N243" i="2"/>
  <c r="P243" i="2"/>
  <c r="L244" i="2"/>
  <c r="L245" i="2"/>
  <c r="L246" i="2"/>
  <c r="L247" i="2"/>
  <c r="I249" i="2"/>
  <c r="I242" i="2" s="1"/>
  <c r="K251" i="2"/>
  <c r="K252" i="2"/>
  <c r="J253" i="2"/>
  <c r="N254" i="2"/>
  <c r="P254" i="2"/>
  <c r="L255" i="2"/>
  <c r="L256" i="2"/>
  <c r="L257" i="2"/>
  <c r="L258" i="2"/>
  <c r="I260" i="2"/>
  <c r="I253" i="2" s="1"/>
  <c r="K253" i="2" s="1"/>
  <c r="K262" i="2"/>
  <c r="K263" i="2"/>
  <c r="I265" i="2"/>
  <c r="J265" i="2"/>
  <c r="K265" i="2"/>
  <c r="L267" i="2"/>
  <c r="M267" i="2"/>
  <c r="P267" i="2" s="1"/>
  <c r="N267" i="2"/>
  <c r="O267" i="2"/>
  <c r="O270" i="2"/>
  <c r="P270" i="2"/>
  <c r="L271" i="2"/>
  <c r="L269" i="2" s="1"/>
  <c r="O269" i="2" s="1"/>
  <c r="M271" i="2"/>
  <c r="M269" i="2" s="1"/>
  <c r="P269" i="2" s="1"/>
  <c r="N271" i="2"/>
  <c r="N269" i="2" s="1"/>
  <c r="O273" i="2"/>
  <c r="P273" i="2"/>
  <c r="L274" i="2"/>
  <c r="O274" i="2" s="1"/>
  <c r="M274" i="2"/>
  <c r="M272" i="2" s="1"/>
  <c r="P272" i="2" s="1"/>
  <c r="N274" i="2"/>
  <c r="N272" i="2" s="1"/>
  <c r="J281" i="2"/>
  <c r="L283" i="2"/>
  <c r="M283" i="2"/>
  <c r="P283" i="2" s="1"/>
  <c r="N283" i="2"/>
  <c r="O283" i="2"/>
  <c r="O286" i="2"/>
  <c r="P286" i="2"/>
  <c r="L287" i="2"/>
  <c r="M287" i="2"/>
  <c r="N287" i="2"/>
  <c r="O289" i="2"/>
  <c r="P289" i="2"/>
  <c r="L290" i="2"/>
  <c r="O290" i="2" s="1"/>
  <c r="M290" i="2"/>
  <c r="M288" i="2" s="1"/>
  <c r="P288" i="2" s="1"/>
  <c r="N290" i="2"/>
  <c r="N288" i="2" s="1"/>
  <c r="I292" i="2"/>
  <c r="K292" i="2" s="1"/>
  <c r="I293" i="2"/>
  <c r="I280" i="2" s="1"/>
  <c r="K280" i="2" s="1"/>
  <c r="J293" i="2"/>
  <c r="J280" i="2" s="1"/>
  <c r="I295" i="2"/>
  <c r="K295" i="2" s="1"/>
  <c r="I296" i="2"/>
  <c r="K296" i="2" s="1"/>
  <c r="J302" i="2"/>
  <c r="L304" i="2"/>
  <c r="M304" i="2"/>
  <c r="P304" i="2" s="1"/>
  <c r="N304" i="2"/>
  <c r="O304" i="2"/>
  <c r="O307" i="2"/>
  <c r="P307" i="2"/>
  <c r="L308" i="2"/>
  <c r="M308" i="2"/>
  <c r="M306" i="2" s="1"/>
  <c r="N308" i="2"/>
  <c r="N306" i="2" s="1"/>
  <c r="O310" i="2"/>
  <c r="P310" i="2"/>
  <c r="L311" i="2"/>
  <c r="L309" i="2" s="1"/>
  <c r="O309" i="2" s="1"/>
  <c r="M311" i="2"/>
  <c r="M309" i="2" s="1"/>
  <c r="P309" i="2" s="1"/>
  <c r="N311" i="2"/>
  <c r="N309" i="2" s="1"/>
  <c r="I314" i="2"/>
  <c r="K314" i="2" s="1"/>
  <c r="I315" i="2"/>
  <c r="K315" i="2" s="1"/>
  <c r="I316" i="2"/>
  <c r="K316" i="2" s="1"/>
  <c r="I317" i="2"/>
  <c r="K317" i="2" s="1"/>
  <c r="J319" i="2"/>
  <c r="L321" i="2"/>
  <c r="O321" i="2" s="1"/>
  <c r="M321" i="2"/>
  <c r="N321" i="2"/>
  <c r="O324" i="2"/>
  <c r="P324" i="2"/>
  <c r="L325" i="2"/>
  <c r="L323" i="2" s="1"/>
  <c r="O323" i="2" s="1"/>
  <c r="M325" i="2"/>
  <c r="N325" i="2"/>
  <c r="N323" i="2" s="1"/>
  <c r="O327" i="2"/>
  <c r="P327" i="2"/>
  <c r="L328" i="2"/>
  <c r="L326" i="2" s="1"/>
  <c r="O326" i="2" s="1"/>
  <c r="M328" i="2"/>
  <c r="P328" i="2" s="1"/>
  <c r="N328" i="2"/>
  <c r="N326" i="2" s="1"/>
  <c r="I330" i="2"/>
  <c r="K330" i="2" s="1"/>
  <c r="L334" i="2"/>
  <c r="O334" i="2" s="1"/>
  <c r="M334" i="2"/>
  <c r="N334" i="2"/>
  <c r="O337" i="2"/>
  <c r="P337" i="2"/>
  <c r="L338" i="2"/>
  <c r="M338" i="2"/>
  <c r="N338" i="2"/>
  <c r="O340" i="2"/>
  <c r="P340" i="2"/>
  <c r="L341" i="2"/>
  <c r="O341" i="2" s="1"/>
  <c r="M341" i="2"/>
  <c r="P341" i="2" s="1"/>
  <c r="N341" i="2"/>
  <c r="N339" i="2" s="1"/>
  <c r="I344" i="2"/>
  <c r="I332" i="2" s="1"/>
  <c r="J344" i="2"/>
  <c r="I346" i="2"/>
  <c r="J346" i="2"/>
  <c r="J347" i="2"/>
  <c r="J348" i="2"/>
  <c r="J349" i="2"/>
  <c r="D350" i="2"/>
  <c r="J352" i="2"/>
  <c r="J353" i="2"/>
  <c r="D354" i="2"/>
  <c r="L357" i="2"/>
  <c r="O357" i="2" s="1"/>
  <c r="M357" i="2"/>
  <c r="N357" i="2"/>
  <c r="O360" i="2"/>
  <c r="P360" i="2"/>
  <c r="L361" i="2"/>
  <c r="M361" i="2"/>
  <c r="N361" i="2"/>
  <c r="O363" i="2"/>
  <c r="P363" i="2"/>
  <c r="L364" i="2"/>
  <c r="O364" i="2" s="1"/>
  <c r="M364" i="2"/>
  <c r="P364" i="2" s="1"/>
  <c r="N364" i="2"/>
  <c r="N362" i="2" s="1"/>
  <c r="J367" i="2"/>
  <c r="K367" i="2"/>
  <c r="I368" i="2"/>
  <c r="J368" i="2"/>
  <c r="I369" i="2"/>
  <c r="J369" i="2"/>
  <c r="J370" i="2"/>
  <c r="K370" i="2"/>
  <c r="I371" i="2"/>
  <c r="I365" i="2" s="1"/>
  <c r="J371" i="2"/>
  <c r="J365" i="2" s="1"/>
  <c r="J372" i="2"/>
  <c r="K372" i="2"/>
  <c r="D373" i="2"/>
  <c r="I376" i="2"/>
  <c r="K376" i="2" s="1"/>
  <c r="J376" i="2"/>
  <c r="L378" i="2"/>
  <c r="M378" i="2"/>
  <c r="N378" i="2"/>
  <c r="P378" i="2"/>
  <c r="O381" i="2"/>
  <c r="P381" i="2"/>
  <c r="L382" i="2"/>
  <c r="O382" i="2" s="1"/>
  <c r="M382" i="2"/>
  <c r="P382" i="2" s="1"/>
  <c r="N382" i="2"/>
  <c r="N380" i="2" s="1"/>
  <c r="O384" i="2"/>
  <c r="P384" i="2"/>
  <c r="L385" i="2"/>
  <c r="O385" i="2" s="1"/>
  <c r="M385" i="2"/>
  <c r="P385" i="2" s="1"/>
  <c r="N385" i="2"/>
  <c r="N383" i="2" s="1"/>
  <c r="K387" i="2"/>
  <c r="K388" i="2"/>
  <c r="A391" i="2"/>
  <c r="A391" i="1"/>
  <c r="K388" i="1"/>
  <c r="K387" i="1"/>
  <c r="N385" i="1"/>
  <c r="M385" i="1"/>
  <c r="P385" i="1" s="1"/>
  <c r="L385" i="1"/>
  <c r="O385" i="1" s="1"/>
  <c r="N384" i="1"/>
  <c r="M384" i="1"/>
  <c r="P384" i="1" s="1"/>
  <c r="L384" i="1"/>
  <c r="O384" i="1" s="1"/>
  <c r="N382" i="1"/>
  <c r="N379" i="1" s="1"/>
  <c r="M382" i="1"/>
  <c r="P382" i="1" s="1"/>
  <c r="L382" i="1"/>
  <c r="O382" i="1" s="1"/>
  <c r="N381" i="1"/>
  <c r="M381" i="1"/>
  <c r="L381" i="1"/>
  <c r="O381" i="1" s="1"/>
  <c r="K376" i="1"/>
  <c r="J376" i="1"/>
  <c r="I376" i="1"/>
  <c r="D373" i="1"/>
  <c r="K372" i="1"/>
  <c r="J372" i="1"/>
  <c r="J371" i="1"/>
  <c r="J365" i="1" s="1"/>
  <c r="I371" i="1"/>
  <c r="I365" i="1" s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O364" i="1" s="1"/>
  <c r="N363" i="1"/>
  <c r="M363" i="1"/>
  <c r="L363" i="1"/>
  <c r="N361" i="1"/>
  <c r="M361" i="1"/>
  <c r="L361" i="1"/>
  <c r="N360" i="1"/>
  <c r="M360" i="1"/>
  <c r="P360" i="1" s="1"/>
  <c r="L360" i="1"/>
  <c r="O360" i="1" s="1"/>
  <c r="D354" i="1"/>
  <c r="J353" i="1"/>
  <c r="J352" i="1"/>
  <c r="D350" i="1"/>
  <c r="J349" i="1"/>
  <c r="J348" i="1"/>
  <c r="J347" i="1"/>
  <c r="J346" i="1"/>
  <c r="I346" i="1"/>
  <c r="J344" i="1"/>
  <c r="I344" i="1"/>
  <c r="N341" i="1"/>
  <c r="M341" i="1"/>
  <c r="P341" i="1" s="1"/>
  <c r="L341" i="1"/>
  <c r="N340" i="1"/>
  <c r="M340" i="1"/>
  <c r="L340" i="1"/>
  <c r="O340" i="1" s="1"/>
  <c r="N338" i="1"/>
  <c r="M338" i="1"/>
  <c r="L338" i="1"/>
  <c r="N337" i="1"/>
  <c r="M337" i="1"/>
  <c r="P337" i="1" s="1"/>
  <c r="L337" i="1"/>
  <c r="O337" i="1" s="1"/>
  <c r="J330" i="1"/>
  <c r="J319" i="1" s="1"/>
  <c r="I330" i="1"/>
  <c r="I319" i="1" s="1"/>
  <c r="N328" i="1"/>
  <c r="M328" i="1"/>
  <c r="P328" i="1" s="1"/>
  <c r="L328" i="1"/>
  <c r="O328" i="1" s="1"/>
  <c r="N327" i="1"/>
  <c r="M327" i="1"/>
  <c r="L327" i="1"/>
  <c r="O327" i="1" s="1"/>
  <c r="N325" i="1"/>
  <c r="M325" i="1"/>
  <c r="M322" i="1" s="1"/>
  <c r="L325" i="1"/>
  <c r="N324" i="1"/>
  <c r="N321" i="1" s="1"/>
  <c r="M324" i="1"/>
  <c r="L324" i="1"/>
  <c r="J317" i="1"/>
  <c r="I317" i="1"/>
  <c r="J316" i="1"/>
  <c r="I316" i="1"/>
  <c r="J315" i="1"/>
  <c r="I315" i="1"/>
  <c r="J314" i="1"/>
  <c r="J302" i="1" s="1"/>
  <c r="I314" i="1"/>
  <c r="J313" i="1"/>
  <c r="N311" i="1"/>
  <c r="M311" i="1"/>
  <c r="P311" i="1" s="1"/>
  <c r="L311" i="1"/>
  <c r="N310" i="1"/>
  <c r="M310" i="1"/>
  <c r="P310" i="1" s="1"/>
  <c r="L310" i="1"/>
  <c r="O310" i="1" s="1"/>
  <c r="N308" i="1"/>
  <c r="M308" i="1"/>
  <c r="L308" i="1"/>
  <c r="N307" i="1"/>
  <c r="M307" i="1"/>
  <c r="P307" i="1" s="1"/>
  <c r="L307" i="1"/>
  <c r="J296" i="1"/>
  <c r="I296" i="1"/>
  <c r="J295" i="1"/>
  <c r="I295" i="1"/>
  <c r="J293" i="1"/>
  <c r="J280" i="1" s="1"/>
  <c r="I293" i="1"/>
  <c r="I280" i="1" s="1"/>
  <c r="J292" i="1"/>
  <c r="I292" i="1"/>
  <c r="I281" i="1" s="1"/>
  <c r="N290" i="1"/>
  <c r="M290" i="1"/>
  <c r="P290" i="1" s="1"/>
  <c r="L290" i="1"/>
  <c r="O290" i="1" s="1"/>
  <c r="N289" i="1"/>
  <c r="M289" i="1"/>
  <c r="P289" i="1" s="1"/>
  <c r="L289" i="1"/>
  <c r="N287" i="1"/>
  <c r="M287" i="1"/>
  <c r="L287" i="1"/>
  <c r="N286" i="1"/>
  <c r="M286" i="1"/>
  <c r="P286" i="1" s="1"/>
  <c r="L286" i="1"/>
  <c r="N274" i="1"/>
  <c r="M274" i="1"/>
  <c r="L274" i="1"/>
  <c r="O274" i="1" s="1"/>
  <c r="N273" i="1"/>
  <c r="M273" i="1"/>
  <c r="P273" i="1" s="1"/>
  <c r="L273" i="1"/>
  <c r="N271" i="1"/>
  <c r="M271" i="1"/>
  <c r="P271" i="1" s="1"/>
  <c r="L271" i="1"/>
  <c r="N270" i="1"/>
  <c r="M270" i="1"/>
  <c r="L270" i="1"/>
  <c r="O270" i="1" s="1"/>
  <c r="K265" i="1"/>
  <c r="K241" i="1"/>
  <c r="J241" i="1"/>
  <c r="K240" i="1"/>
  <c r="J240" i="1"/>
  <c r="J238" i="1"/>
  <c r="I238" i="1"/>
  <c r="I332" i="1" s="1"/>
  <c r="N236" i="1"/>
  <c r="L236" i="1"/>
  <c r="N235" i="1"/>
  <c r="L235" i="1"/>
  <c r="N234" i="1"/>
  <c r="L234" i="1"/>
  <c r="N233" i="1"/>
  <c r="L233" i="1"/>
  <c r="J231" i="1"/>
  <c r="I231" i="1"/>
  <c r="K231" i="1" s="1"/>
  <c r="J230" i="1"/>
  <c r="J185" i="1" s="1"/>
  <c r="I230" i="1"/>
  <c r="I185" i="1" s="1"/>
  <c r="K185" i="1" s="1"/>
  <c r="J229" i="1"/>
  <c r="J221" i="1" s="1"/>
  <c r="I229" i="1"/>
  <c r="J228" i="1"/>
  <c r="I228" i="1"/>
  <c r="N224" i="1"/>
  <c r="L224" i="1"/>
  <c r="N223" i="1"/>
  <c r="L223" i="1"/>
  <c r="J220" i="1"/>
  <c r="I220" i="1"/>
  <c r="I213" i="1" s="1"/>
  <c r="J219" i="1"/>
  <c r="I219" i="1"/>
  <c r="N217" i="1"/>
  <c r="L217" i="1"/>
  <c r="N216" i="1"/>
  <c r="L216" i="1"/>
  <c r="N215" i="1"/>
  <c r="L215" i="1"/>
  <c r="K212" i="1"/>
  <c r="J212" i="1"/>
  <c r="K211" i="1"/>
  <c r="J211" i="1"/>
  <c r="J209" i="1"/>
  <c r="J202" i="1" s="1"/>
  <c r="I209" i="1"/>
  <c r="I202" i="1" s="1"/>
  <c r="N207" i="1"/>
  <c r="L207" i="1"/>
  <c r="N206" i="1"/>
  <c r="L206" i="1"/>
  <c r="N204" i="1"/>
  <c r="L204" i="1"/>
  <c r="J201" i="1"/>
  <c r="J200" i="1"/>
  <c r="J198" i="1"/>
  <c r="I198" i="1"/>
  <c r="I195" i="1" s="1"/>
  <c r="N196" i="1"/>
  <c r="L196" i="1"/>
  <c r="N194" i="1"/>
  <c r="M194" i="1"/>
  <c r="P194" i="1" s="1"/>
  <c r="L194" i="1"/>
  <c r="O194" i="1" s="1"/>
  <c r="N193" i="1"/>
  <c r="M193" i="1"/>
  <c r="P193" i="1" s="1"/>
  <c r="L193" i="1"/>
  <c r="O193" i="1" s="1"/>
  <c r="N191" i="1"/>
  <c r="M191" i="1"/>
  <c r="L191" i="1"/>
  <c r="N190" i="1"/>
  <c r="M190" i="1"/>
  <c r="P190" i="1" s="1"/>
  <c r="L190" i="1"/>
  <c r="K184" i="1"/>
  <c r="J183" i="1"/>
  <c r="J172" i="1" s="1"/>
  <c r="I183" i="1"/>
  <c r="N181" i="1"/>
  <c r="M181" i="1"/>
  <c r="P181" i="1" s="1"/>
  <c r="L181" i="1"/>
  <c r="O181" i="1" s="1"/>
  <c r="N180" i="1"/>
  <c r="M180" i="1"/>
  <c r="L180" i="1"/>
  <c r="O180" i="1" s="1"/>
  <c r="N178" i="1"/>
  <c r="M178" i="1"/>
  <c r="L178" i="1"/>
  <c r="N177" i="1"/>
  <c r="M177" i="1"/>
  <c r="L177" i="1"/>
  <c r="J167" i="1"/>
  <c r="I167" i="1"/>
  <c r="N165" i="1"/>
  <c r="M165" i="1"/>
  <c r="P165" i="1" s="1"/>
  <c r="L165" i="1"/>
  <c r="O165" i="1" s="1"/>
  <c r="N164" i="1"/>
  <c r="M164" i="1"/>
  <c r="P164" i="1" s="1"/>
  <c r="L164" i="1"/>
  <c r="O164" i="1" s="1"/>
  <c r="N162" i="1"/>
  <c r="N159" i="1" s="1"/>
  <c r="M162" i="1"/>
  <c r="P162" i="1" s="1"/>
  <c r="L162" i="1"/>
  <c r="N161" i="1"/>
  <c r="M161" i="1"/>
  <c r="P161" i="1" s="1"/>
  <c r="L161" i="1"/>
  <c r="J156" i="1"/>
  <c r="J154" i="1"/>
  <c r="J136" i="1" s="1"/>
  <c r="I154" i="1"/>
  <c r="J153" i="1"/>
  <c r="J138" i="1" s="1"/>
  <c r="I153" i="1"/>
  <c r="J152" i="1"/>
  <c r="J137" i="1" s="1"/>
  <c r="I152" i="1"/>
  <c r="J151" i="1"/>
  <c r="I151" i="1"/>
  <c r="J150" i="1"/>
  <c r="I150" i="1"/>
  <c r="J149" i="1"/>
  <c r="N147" i="1"/>
  <c r="M147" i="1"/>
  <c r="P147" i="1" s="1"/>
  <c r="L147" i="1"/>
  <c r="O147" i="1" s="1"/>
  <c r="N146" i="1"/>
  <c r="M146" i="1"/>
  <c r="P146" i="1" s="1"/>
  <c r="L146" i="1"/>
  <c r="N144" i="1"/>
  <c r="M144" i="1"/>
  <c r="L144" i="1"/>
  <c r="N143" i="1"/>
  <c r="M143" i="1"/>
  <c r="P143" i="1" s="1"/>
  <c r="L143" i="1"/>
  <c r="O143" i="1" s="1"/>
  <c r="N133" i="1"/>
  <c r="M133" i="1"/>
  <c r="P133" i="1" s="1"/>
  <c r="L133" i="1"/>
  <c r="O133" i="1" s="1"/>
  <c r="N132" i="1"/>
  <c r="M132" i="1"/>
  <c r="L132" i="1"/>
  <c r="N130" i="1"/>
  <c r="M130" i="1"/>
  <c r="P130" i="1" s="1"/>
  <c r="L130" i="1"/>
  <c r="O130" i="1" s="1"/>
  <c r="N129" i="1"/>
  <c r="M129" i="1"/>
  <c r="P129" i="1" s="1"/>
  <c r="L129" i="1"/>
  <c r="O129" i="1" s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J93" i="1" s="1"/>
  <c r="I109" i="1"/>
  <c r="J108" i="1"/>
  <c r="J92" i="1" s="1"/>
  <c r="I108" i="1"/>
  <c r="I92" i="1" s="1"/>
  <c r="N102" i="1"/>
  <c r="M102" i="1"/>
  <c r="P102" i="1" s="1"/>
  <c r="L102" i="1"/>
  <c r="O102" i="1" s="1"/>
  <c r="N101" i="1"/>
  <c r="M101" i="1"/>
  <c r="P101" i="1" s="1"/>
  <c r="L101" i="1"/>
  <c r="O101" i="1" s="1"/>
  <c r="N99" i="1"/>
  <c r="M99" i="1"/>
  <c r="L99" i="1"/>
  <c r="N98" i="1"/>
  <c r="M98" i="1"/>
  <c r="P98" i="1" s="1"/>
  <c r="L98" i="1"/>
  <c r="O98" i="1" s="1"/>
  <c r="J90" i="1"/>
  <c r="I90" i="1"/>
  <c r="J89" i="1"/>
  <c r="I89" i="1"/>
  <c r="J88" i="1"/>
  <c r="I88" i="1"/>
  <c r="J87" i="1"/>
  <c r="I87" i="1"/>
  <c r="K87" i="1" s="1"/>
  <c r="J86" i="1"/>
  <c r="I86" i="1"/>
  <c r="K86" i="1" s="1"/>
  <c r="J85" i="1"/>
  <c r="I85" i="1"/>
  <c r="K85" i="1" s="1"/>
  <c r="J84" i="1"/>
  <c r="I84" i="1"/>
  <c r="K84" i="1" s="1"/>
  <c r="N80" i="1"/>
  <c r="M80" i="1"/>
  <c r="P80" i="1" s="1"/>
  <c r="L80" i="1"/>
  <c r="O80" i="1" s="1"/>
  <c r="N79" i="1"/>
  <c r="M79" i="1"/>
  <c r="P79" i="1" s="1"/>
  <c r="L79" i="1"/>
  <c r="O79" i="1" s="1"/>
  <c r="N77" i="1"/>
  <c r="M77" i="1"/>
  <c r="M74" i="1" s="1"/>
  <c r="L77" i="1"/>
  <c r="N76" i="1"/>
  <c r="M76" i="1"/>
  <c r="L76" i="1"/>
  <c r="O76" i="1" s="1"/>
  <c r="N67" i="1"/>
  <c r="M67" i="1"/>
  <c r="P67" i="1" s="1"/>
  <c r="L67" i="1"/>
  <c r="O67" i="1" s="1"/>
  <c r="N66" i="1"/>
  <c r="M66" i="1"/>
  <c r="L66" i="1"/>
  <c r="O66" i="1" s="1"/>
  <c r="N64" i="1"/>
  <c r="M64" i="1"/>
  <c r="L64" i="1"/>
  <c r="N63" i="1"/>
  <c r="M63" i="1"/>
  <c r="L63" i="1"/>
  <c r="O63" i="1" s="1"/>
  <c r="N55" i="1"/>
  <c r="N29" i="1" s="1"/>
  <c r="M55" i="1"/>
  <c r="P55" i="1" s="1"/>
  <c r="L55" i="1"/>
  <c r="N54" i="1"/>
  <c r="M54" i="1"/>
  <c r="L54" i="1"/>
  <c r="O54" i="1" s="1"/>
  <c r="N52" i="1"/>
  <c r="M52" i="1"/>
  <c r="P52" i="1" s="1"/>
  <c r="L52" i="1"/>
  <c r="O52" i="1" s="1"/>
  <c r="N51" i="1"/>
  <c r="M51" i="1"/>
  <c r="P51" i="1" s="1"/>
  <c r="L51" i="1"/>
  <c r="O51" i="1" s="1"/>
  <c r="N49" i="1"/>
  <c r="M49" i="1"/>
  <c r="L49" i="1"/>
  <c r="N48" i="1"/>
  <c r="M48" i="1"/>
  <c r="L48" i="1"/>
  <c r="A3" i="1"/>
  <c r="N141" i="1" l="1"/>
  <c r="N335" i="1"/>
  <c r="O274" i="18"/>
  <c r="L96" i="18"/>
  <c r="O96" i="18" s="1"/>
  <c r="O336" i="18"/>
  <c r="M131" i="18"/>
  <c r="P131" i="18" s="1"/>
  <c r="M128" i="18"/>
  <c r="P128" i="18" s="1"/>
  <c r="K220" i="18"/>
  <c r="K153" i="18"/>
  <c r="O102" i="18"/>
  <c r="P382" i="18"/>
  <c r="K229" i="18"/>
  <c r="L159" i="18"/>
  <c r="L157" i="18" s="1"/>
  <c r="L141" i="18"/>
  <c r="L139" i="18" s="1"/>
  <c r="M74" i="18"/>
  <c r="M72" i="18" s="1"/>
  <c r="K371" i="18"/>
  <c r="M145" i="18"/>
  <c r="P145" i="18" s="1"/>
  <c r="N46" i="18"/>
  <c r="N44" i="18" s="1"/>
  <c r="I93" i="18"/>
  <c r="K93" i="18" s="1"/>
  <c r="K330" i="18"/>
  <c r="O142" i="18"/>
  <c r="K368" i="16"/>
  <c r="O341" i="18"/>
  <c r="N322" i="18"/>
  <c r="N320" i="18" s="1"/>
  <c r="K209" i="18"/>
  <c r="O133" i="18"/>
  <c r="J343" i="18"/>
  <c r="L268" i="18"/>
  <c r="O268" i="18" s="1"/>
  <c r="P178" i="18"/>
  <c r="M175" i="18"/>
  <c r="M173" i="18" s="1"/>
  <c r="K154" i="18"/>
  <c r="O364" i="18"/>
  <c r="O194" i="18"/>
  <c r="L65" i="18"/>
  <c r="O65" i="18" s="1"/>
  <c r="J351" i="18"/>
  <c r="K346" i="18"/>
  <c r="P189" i="18"/>
  <c r="N61" i="18"/>
  <c r="N59" i="18" s="1"/>
  <c r="K169" i="17"/>
  <c r="P287" i="18"/>
  <c r="M284" i="18"/>
  <c r="M282" i="18" s="1"/>
  <c r="L235" i="18"/>
  <c r="L188" i="18"/>
  <c r="L186" i="18" s="1"/>
  <c r="M141" i="18"/>
  <c r="M139" i="18" s="1"/>
  <c r="L127" i="18"/>
  <c r="L125" i="18" s="1"/>
  <c r="O125" i="18" s="1"/>
  <c r="P306" i="18"/>
  <c r="I238" i="17"/>
  <c r="K238" i="17" s="1"/>
  <c r="L358" i="18"/>
  <c r="L356" i="18" s="1"/>
  <c r="K344" i="18"/>
  <c r="P336" i="18"/>
  <c r="O328" i="18"/>
  <c r="O311" i="18"/>
  <c r="L305" i="18"/>
  <c r="L303" i="18" s="1"/>
  <c r="P285" i="18"/>
  <c r="L254" i="18"/>
  <c r="O254" i="18" s="1"/>
  <c r="I238" i="18"/>
  <c r="K238" i="18" s="1"/>
  <c r="P176" i="18"/>
  <c r="I137" i="18"/>
  <c r="K137" i="18" s="1"/>
  <c r="L61" i="18"/>
  <c r="O306" i="18"/>
  <c r="N26" i="18"/>
  <c r="N24" i="18" s="1"/>
  <c r="K202" i="18"/>
  <c r="K260" i="17"/>
  <c r="J332" i="18"/>
  <c r="K332" i="18" s="1"/>
  <c r="L335" i="18"/>
  <c r="L333" i="18" s="1"/>
  <c r="O325" i="18"/>
  <c r="N323" i="18"/>
  <c r="O323" i="18" s="1"/>
  <c r="O287" i="18"/>
  <c r="P271" i="18"/>
  <c r="L236" i="18"/>
  <c r="L214" i="18"/>
  <c r="O214" i="18" s="1"/>
  <c r="L203" i="18"/>
  <c r="O203" i="18" s="1"/>
  <c r="P191" i="18"/>
  <c r="O178" i="18"/>
  <c r="M127" i="18"/>
  <c r="P127" i="18" s="1"/>
  <c r="K108" i="18"/>
  <c r="I365" i="18"/>
  <c r="K365" i="18" s="1"/>
  <c r="P308" i="18"/>
  <c r="O271" i="18"/>
  <c r="O191" i="18"/>
  <c r="M142" i="18"/>
  <c r="P142" i="18" s="1"/>
  <c r="N127" i="18"/>
  <c r="N125" i="18" s="1"/>
  <c r="L19" i="18"/>
  <c r="N379" i="18"/>
  <c r="N377" i="18" s="1"/>
  <c r="K368" i="18"/>
  <c r="L234" i="17"/>
  <c r="L141" i="17"/>
  <c r="L139" i="17" s="1"/>
  <c r="P385" i="18"/>
  <c r="K369" i="18"/>
  <c r="M322" i="18"/>
  <c r="M320" i="18" s="1"/>
  <c r="O308" i="18"/>
  <c r="K292" i="18"/>
  <c r="L269" i="18"/>
  <c r="O269" i="18" s="1"/>
  <c r="L243" i="18"/>
  <c r="L222" i="18"/>
  <c r="O222" i="18" s="1"/>
  <c r="L189" i="18"/>
  <c r="O189" i="18" s="1"/>
  <c r="K183" i="18"/>
  <c r="P77" i="18"/>
  <c r="O64" i="18"/>
  <c r="N62" i="18"/>
  <c r="P62" i="18" s="1"/>
  <c r="P49" i="18"/>
  <c r="P359" i="18"/>
  <c r="O359" i="18"/>
  <c r="L145" i="18"/>
  <c r="O145" i="18" s="1"/>
  <c r="L128" i="18"/>
  <c r="O128" i="18" s="1"/>
  <c r="K346" i="17"/>
  <c r="O385" i="18"/>
  <c r="O382" i="18"/>
  <c r="P364" i="18"/>
  <c r="P361" i="18"/>
  <c r="P341" i="18"/>
  <c r="P338" i="18"/>
  <c r="M326" i="18"/>
  <c r="P326" i="18" s="1"/>
  <c r="M323" i="18"/>
  <c r="L322" i="18"/>
  <c r="P311" i="18"/>
  <c r="N305" i="18"/>
  <c r="M288" i="18"/>
  <c r="P288" i="18" s="1"/>
  <c r="P274" i="18"/>
  <c r="N268" i="18"/>
  <c r="N266" i="18" s="1"/>
  <c r="L233" i="18"/>
  <c r="P194" i="18"/>
  <c r="N188" i="18"/>
  <c r="M179" i="18"/>
  <c r="P179" i="18" s="1"/>
  <c r="I168" i="18"/>
  <c r="K168" i="18" s="1"/>
  <c r="L163" i="18"/>
  <c r="O163" i="18" s="1"/>
  <c r="N159" i="18"/>
  <c r="N157" i="18" s="1"/>
  <c r="P144" i="18"/>
  <c r="O99" i="18"/>
  <c r="N96" i="18"/>
  <c r="N94" i="18" s="1"/>
  <c r="P80" i="18"/>
  <c r="M75" i="18"/>
  <c r="P75" i="18" s="1"/>
  <c r="P45" i="18"/>
  <c r="O361" i="18"/>
  <c r="O338" i="18"/>
  <c r="P321" i="18"/>
  <c r="M305" i="18"/>
  <c r="M303" i="18" s="1"/>
  <c r="I302" i="18"/>
  <c r="K302" i="18" s="1"/>
  <c r="K293" i="18"/>
  <c r="L288" i="18"/>
  <c r="O288" i="18" s="1"/>
  <c r="N284" i="18"/>
  <c r="N282" i="18" s="1"/>
  <c r="M268" i="18"/>
  <c r="P268" i="18" s="1"/>
  <c r="K249" i="18"/>
  <c r="I242" i="18"/>
  <c r="M188" i="18"/>
  <c r="M186" i="18" s="1"/>
  <c r="L179" i="18"/>
  <c r="O179" i="18" s="1"/>
  <c r="N175" i="18"/>
  <c r="N173" i="18" s="1"/>
  <c r="K167" i="18"/>
  <c r="P162" i="18"/>
  <c r="M159" i="18"/>
  <c r="P159" i="18" s="1"/>
  <c r="O144" i="18"/>
  <c r="N141" i="18"/>
  <c r="K136" i="18"/>
  <c r="M96" i="18"/>
  <c r="P96" i="18" s="1"/>
  <c r="L75" i="18"/>
  <c r="O75" i="18" s="1"/>
  <c r="O77" i="18"/>
  <c r="P73" i="18"/>
  <c r="M26" i="18"/>
  <c r="M50" i="18"/>
  <c r="P50" i="18" s="1"/>
  <c r="M46" i="18"/>
  <c r="M19" i="18"/>
  <c r="P25" i="18"/>
  <c r="O19" i="18"/>
  <c r="M163" i="18"/>
  <c r="P163" i="18" s="1"/>
  <c r="L47" i="18"/>
  <c r="O49" i="18"/>
  <c r="L339" i="17"/>
  <c r="O339" i="17" s="1"/>
  <c r="M379" i="18"/>
  <c r="N358" i="18"/>
  <c r="N356" i="18" s="1"/>
  <c r="N335" i="18"/>
  <c r="N333" i="18" s="1"/>
  <c r="P325" i="18"/>
  <c r="P304" i="18"/>
  <c r="P267" i="18"/>
  <c r="P187" i="18"/>
  <c r="I156" i="18"/>
  <c r="K156" i="18" s="1"/>
  <c r="O147" i="18"/>
  <c r="O130" i="18"/>
  <c r="I83" i="18"/>
  <c r="M78" i="18"/>
  <c r="P78" i="18" s="1"/>
  <c r="N74" i="18"/>
  <c r="N72" i="18" s="1"/>
  <c r="P64" i="18"/>
  <c r="M61" i="18"/>
  <c r="L50" i="18"/>
  <c r="O50" i="18" s="1"/>
  <c r="O52" i="18"/>
  <c r="L46" i="18"/>
  <c r="M23" i="18"/>
  <c r="N19" i="18"/>
  <c r="L236" i="17"/>
  <c r="L379" i="18"/>
  <c r="O379" i="18" s="1"/>
  <c r="M358" i="18"/>
  <c r="M335" i="18"/>
  <c r="M333" i="18" s="1"/>
  <c r="L284" i="18"/>
  <c r="L282" i="18" s="1"/>
  <c r="L234" i="18"/>
  <c r="L175" i="18"/>
  <c r="L173" i="18" s="1"/>
  <c r="N100" i="18"/>
  <c r="M97" i="18"/>
  <c r="P97" i="18" s="1"/>
  <c r="P95" i="18"/>
  <c r="L78" i="18"/>
  <c r="O78" i="18" s="1"/>
  <c r="N23" i="18"/>
  <c r="N47" i="18"/>
  <c r="P47" i="18" s="1"/>
  <c r="L23" i="18"/>
  <c r="L285" i="18"/>
  <c r="O285" i="18" s="1"/>
  <c r="I195" i="18"/>
  <c r="K195" i="18" s="1"/>
  <c r="L176" i="18"/>
  <c r="O176" i="18" s="1"/>
  <c r="I82" i="18"/>
  <c r="L188" i="17"/>
  <c r="L186" i="17" s="1"/>
  <c r="O64" i="17"/>
  <c r="P283" i="18"/>
  <c r="K260" i="18"/>
  <c r="P174" i="18"/>
  <c r="O162" i="18"/>
  <c r="L160" i="18"/>
  <c r="O160" i="18" s="1"/>
  <c r="M100" i="18"/>
  <c r="P100" i="18" s="1"/>
  <c r="L94" i="18"/>
  <c r="O94" i="18" s="1"/>
  <c r="L74" i="18"/>
  <c r="P67" i="18"/>
  <c r="O60" i="18"/>
  <c r="L26" i="18"/>
  <c r="O22" i="18"/>
  <c r="O311" i="17"/>
  <c r="I202" i="17"/>
  <c r="K202" i="17" s="1"/>
  <c r="O147" i="17"/>
  <c r="K109" i="17"/>
  <c r="M284" i="17"/>
  <c r="M282" i="17" s="1"/>
  <c r="L284" i="17"/>
  <c r="L282" i="17" s="1"/>
  <c r="L272" i="17"/>
  <c r="O272" i="17" s="1"/>
  <c r="L175" i="17"/>
  <c r="L173" i="17" s="1"/>
  <c r="N379" i="17"/>
  <c r="N377" i="17" s="1"/>
  <c r="P361" i="17"/>
  <c r="J343" i="17"/>
  <c r="K344" i="17"/>
  <c r="P328" i="17"/>
  <c r="L269" i="17"/>
  <c r="O269" i="17" s="1"/>
  <c r="K220" i="17"/>
  <c r="O191" i="17"/>
  <c r="L189" i="17"/>
  <c r="O189" i="17" s="1"/>
  <c r="O102" i="17"/>
  <c r="L62" i="17"/>
  <c r="O62" i="17" s="1"/>
  <c r="I319" i="16"/>
  <c r="K319" i="16" s="1"/>
  <c r="K369" i="17"/>
  <c r="O328" i="17"/>
  <c r="P325" i="17"/>
  <c r="L305" i="17"/>
  <c r="L303" i="17" s="1"/>
  <c r="K249" i="17"/>
  <c r="M159" i="17"/>
  <c r="P159" i="17" s="1"/>
  <c r="K154" i="17"/>
  <c r="I138" i="17"/>
  <c r="K138" i="17" s="1"/>
  <c r="K371" i="17"/>
  <c r="K368" i="17"/>
  <c r="L203" i="17"/>
  <c r="O203" i="17" s="1"/>
  <c r="P271" i="17"/>
  <c r="O194" i="17"/>
  <c r="P130" i="17"/>
  <c r="L65" i="17"/>
  <c r="O65" i="17" s="1"/>
  <c r="O338" i="17"/>
  <c r="N175" i="17"/>
  <c r="L159" i="17"/>
  <c r="O159" i="17" s="1"/>
  <c r="L96" i="17"/>
  <c r="O96" i="17" s="1"/>
  <c r="I82" i="17"/>
  <c r="I70" i="17" s="1"/>
  <c r="K70" i="17" s="1"/>
  <c r="O178" i="16"/>
  <c r="M379" i="17"/>
  <c r="M377" i="17" s="1"/>
  <c r="P377" i="17" s="1"/>
  <c r="O361" i="17"/>
  <c r="J332" i="17"/>
  <c r="K332" i="17" s="1"/>
  <c r="O325" i="17"/>
  <c r="O308" i="17"/>
  <c r="L306" i="17"/>
  <c r="O306" i="17" s="1"/>
  <c r="K280" i="17"/>
  <c r="N268" i="17"/>
  <c r="N266" i="17" s="1"/>
  <c r="L235" i="17"/>
  <c r="I242" i="17"/>
  <c r="P189" i="17"/>
  <c r="N188" i="17"/>
  <c r="M141" i="17"/>
  <c r="M139" i="17" s="1"/>
  <c r="M127" i="17"/>
  <c r="P127" i="17" s="1"/>
  <c r="N96" i="17"/>
  <c r="N94" i="17" s="1"/>
  <c r="L97" i="17"/>
  <c r="O97" i="17" s="1"/>
  <c r="L74" i="17"/>
  <c r="O74" i="17" s="1"/>
  <c r="L61" i="17"/>
  <c r="L59" i="17" s="1"/>
  <c r="K330" i="17"/>
  <c r="P306" i="17"/>
  <c r="N305" i="17"/>
  <c r="I302" i="17"/>
  <c r="K302" i="17" s="1"/>
  <c r="N284" i="17"/>
  <c r="N282" i="17" s="1"/>
  <c r="L268" i="17"/>
  <c r="O268" i="17" s="1"/>
  <c r="M175" i="17"/>
  <c r="O144" i="17"/>
  <c r="I83" i="17"/>
  <c r="I71" i="17" s="1"/>
  <c r="K71" i="17" s="1"/>
  <c r="I365" i="17"/>
  <c r="K365" i="17" s="1"/>
  <c r="L336" i="17"/>
  <c r="N322" i="17"/>
  <c r="N320" i="17" s="1"/>
  <c r="O304" i="17"/>
  <c r="L254" i="17"/>
  <c r="O254" i="17" s="1"/>
  <c r="P147" i="17"/>
  <c r="L284" i="1"/>
  <c r="M74" i="17"/>
  <c r="P74" i="17" s="1"/>
  <c r="L362" i="17"/>
  <c r="O362" i="17" s="1"/>
  <c r="J351" i="17"/>
  <c r="N335" i="17"/>
  <c r="N333" i="17" s="1"/>
  <c r="L322" i="17"/>
  <c r="O322" i="17" s="1"/>
  <c r="P133" i="17"/>
  <c r="P77" i="17"/>
  <c r="L19" i="17"/>
  <c r="O142" i="17"/>
  <c r="N380" i="17"/>
  <c r="N358" i="17"/>
  <c r="N356" i="17" s="1"/>
  <c r="P338" i="17"/>
  <c r="N232" i="17"/>
  <c r="L214" i="17"/>
  <c r="O214" i="17" s="1"/>
  <c r="N159" i="17"/>
  <c r="N157" i="17" s="1"/>
  <c r="K84" i="17"/>
  <c r="N74" i="17"/>
  <c r="N72" i="17" s="1"/>
  <c r="N61" i="17"/>
  <c r="N59" i="17" s="1"/>
  <c r="P49" i="17"/>
  <c r="M19" i="17"/>
  <c r="P290" i="16"/>
  <c r="P133" i="16"/>
  <c r="M383" i="17"/>
  <c r="P383" i="17" s="1"/>
  <c r="M380" i="17"/>
  <c r="P380" i="17" s="1"/>
  <c r="L379" i="17"/>
  <c r="O379" i="17" s="1"/>
  <c r="N359" i="17"/>
  <c r="O359" i="17" s="1"/>
  <c r="M358" i="17"/>
  <c r="N336" i="17"/>
  <c r="M335" i="17"/>
  <c r="P290" i="17"/>
  <c r="M285" i="17"/>
  <c r="L243" i="17"/>
  <c r="P181" i="17"/>
  <c r="M176" i="17"/>
  <c r="P165" i="17"/>
  <c r="M160" i="17"/>
  <c r="P160" i="17" s="1"/>
  <c r="M97" i="17"/>
  <c r="P97" i="17" s="1"/>
  <c r="P99" i="17"/>
  <c r="N97" i="17"/>
  <c r="P80" i="17"/>
  <c r="O19" i="17"/>
  <c r="N176" i="17"/>
  <c r="N160" i="17"/>
  <c r="L75" i="17"/>
  <c r="O75" i="17" s="1"/>
  <c r="O77" i="17"/>
  <c r="P19" i="17"/>
  <c r="P176" i="16"/>
  <c r="K154" i="16"/>
  <c r="P130" i="16"/>
  <c r="L383" i="17"/>
  <c r="O383" i="17" s="1"/>
  <c r="L380" i="17"/>
  <c r="O380" i="17" s="1"/>
  <c r="M362" i="17"/>
  <c r="P362" i="17" s="1"/>
  <c r="M359" i="17"/>
  <c r="L358" i="17"/>
  <c r="M339" i="17"/>
  <c r="P339" i="17" s="1"/>
  <c r="M336" i="17"/>
  <c r="L335" i="17"/>
  <c r="M322" i="17"/>
  <c r="P322" i="17" s="1"/>
  <c r="P308" i="17"/>
  <c r="O287" i="17"/>
  <c r="L285" i="17"/>
  <c r="K229" i="17"/>
  <c r="L222" i="17"/>
  <c r="O222" i="17" s="1"/>
  <c r="I195" i="17"/>
  <c r="K195" i="17" s="1"/>
  <c r="P191" i="17"/>
  <c r="O178" i="17"/>
  <c r="L176" i="17"/>
  <c r="L160" i="17"/>
  <c r="O160" i="17" s="1"/>
  <c r="K136" i="17"/>
  <c r="L128" i="17"/>
  <c r="O128" i="17" s="1"/>
  <c r="P64" i="17"/>
  <c r="M62" i="17"/>
  <c r="P62" i="17" s="1"/>
  <c r="M61" i="17"/>
  <c r="N26" i="17"/>
  <c r="N24" i="17" s="1"/>
  <c r="I172" i="17"/>
  <c r="K172" i="17" s="1"/>
  <c r="I137" i="17"/>
  <c r="K137" i="17" s="1"/>
  <c r="O271" i="16"/>
  <c r="P382" i="17"/>
  <c r="O378" i="17"/>
  <c r="P357" i="17"/>
  <c r="P334" i="17"/>
  <c r="P311" i="17"/>
  <c r="P274" i="17"/>
  <c r="L233" i="17"/>
  <c r="P194" i="17"/>
  <c r="L145" i="17"/>
  <c r="O145" i="17" s="1"/>
  <c r="N141" i="17"/>
  <c r="N139" i="17" s="1"/>
  <c r="M100" i="17"/>
  <c r="P100" i="17" s="1"/>
  <c r="P102" i="17"/>
  <c r="M26" i="17"/>
  <c r="P26" i="17" s="1"/>
  <c r="L26" i="17"/>
  <c r="N285" i="17"/>
  <c r="P67" i="17"/>
  <c r="M65" i="17"/>
  <c r="P65" i="17" s="1"/>
  <c r="P321" i="17"/>
  <c r="M305" i="17"/>
  <c r="K293" i="17"/>
  <c r="L288" i="17"/>
  <c r="O288" i="17" s="1"/>
  <c r="M268" i="17"/>
  <c r="M188" i="17"/>
  <c r="L179" i="17"/>
  <c r="O179" i="17" s="1"/>
  <c r="L163" i="17"/>
  <c r="O163" i="17" s="1"/>
  <c r="P144" i="17"/>
  <c r="N127" i="17"/>
  <c r="N125" i="17" s="1"/>
  <c r="L78" i="17"/>
  <c r="O78" i="17" s="1"/>
  <c r="O80" i="17"/>
  <c r="P47" i="17"/>
  <c r="I281" i="17"/>
  <c r="K281" i="17" s="1"/>
  <c r="P142" i="17"/>
  <c r="O60" i="17"/>
  <c r="K152" i="16"/>
  <c r="N61" i="16"/>
  <c r="N59" i="16" s="1"/>
  <c r="P287" i="17"/>
  <c r="P178" i="17"/>
  <c r="P162" i="17"/>
  <c r="P140" i="17"/>
  <c r="L131" i="17"/>
  <c r="O131" i="17" s="1"/>
  <c r="L127" i="17"/>
  <c r="M96" i="17"/>
  <c r="P96" i="17" s="1"/>
  <c r="I92" i="17"/>
  <c r="K92" i="17" s="1"/>
  <c r="O47" i="17"/>
  <c r="N19" i="17"/>
  <c r="O52" i="17"/>
  <c r="O49" i="17"/>
  <c r="P25" i="17"/>
  <c r="N23" i="17"/>
  <c r="N21" i="17" s="1"/>
  <c r="N46" i="17"/>
  <c r="N44" i="17" s="1"/>
  <c r="M23" i="17"/>
  <c r="M46" i="17"/>
  <c r="L23" i="17"/>
  <c r="L21" i="17" s="1"/>
  <c r="M50" i="17"/>
  <c r="P50" i="17" s="1"/>
  <c r="L46" i="17"/>
  <c r="O22" i="17"/>
  <c r="K369" i="16"/>
  <c r="O189" i="16"/>
  <c r="O102" i="16"/>
  <c r="L235" i="15"/>
  <c r="O328" i="16"/>
  <c r="P271" i="16"/>
  <c r="L96" i="16"/>
  <c r="O96" i="16" s="1"/>
  <c r="P325" i="15"/>
  <c r="P144" i="16"/>
  <c r="P189" i="16"/>
  <c r="L358" i="16"/>
  <c r="L356" i="16" s="1"/>
  <c r="P336" i="16"/>
  <c r="L305" i="16"/>
  <c r="K220" i="15"/>
  <c r="L322" i="16"/>
  <c r="O322" i="16" s="1"/>
  <c r="K249" i="16"/>
  <c r="I213" i="16"/>
  <c r="K213" i="16" s="1"/>
  <c r="P191" i="16"/>
  <c r="O162" i="16"/>
  <c r="M127" i="16"/>
  <c r="P127" i="16" s="1"/>
  <c r="O311" i="16"/>
  <c r="L362" i="16"/>
  <c r="O362" i="16" s="1"/>
  <c r="K346" i="16"/>
  <c r="P308" i="16"/>
  <c r="I238" i="16"/>
  <c r="K238" i="16" s="1"/>
  <c r="L236" i="16"/>
  <c r="L214" i="16"/>
  <c r="O214" i="16" s="1"/>
  <c r="L142" i="16"/>
  <c r="O142" i="16" s="1"/>
  <c r="O49" i="15"/>
  <c r="L235" i="16"/>
  <c r="I221" i="16"/>
  <c r="K221" i="16" s="1"/>
  <c r="M379" i="16"/>
  <c r="P379" i="16" s="1"/>
  <c r="J332" i="16"/>
  <c r="K332" i="16" s="1"/>
  <c r="L335" i="16"/>
  <c r="L333" i="16" s="1"/>
  <c r="K293" i="16"/>
  <c r="K172" i="16"/>
  <c r="I82" i="16"/>
  <c r="I70" i="16" s="1"/>
  <c r="K70" i="16" s="1"/>
  <c r="P47" i="16"/>
  <c r="J351" i="15"/>
  <c r="K346" i="15"/>
  <c r="N141" i="15"/>
  <c r="N139" i="15" s="1"/>
  <c r="N46" i="15"/>
  <c r="N44" i="15" s="1"/>
  <c r="K344" i="16"/>
  <c r="O308" i="16"/>
  <c r="K281" i="16"/>
  <c r="I280" i="16"/>
  <c r="K280" i="16" s="1"/>
  <c r="L243" i="16"/>
  <c r="O243" i="16" s="1"/>
  <c r="K202" i="16"/>
  <c r="P181" i="16"/>
  <c r="I168" i="16"/>
  <c r="K168" i="16" s="1"/>
  <c r="M141" i="16"/>
  <c r="P141" i="16" s="1"/>
  <c r="L61" i="16"/>
  <c r="L59" i="16" s="1"/>
  <c r="O47" i="16"/>
  <c r="L100" i="15"/>
  <c r="O100" i="15" s="1"/>
  <c r="J343" i="16"/>
  <c r="O325" i="16"/>
  <c r="L306" i="16"/>
  <c r="O306" i="16" s="1"/>
  <c r="O274" i="16"/>
  <c r="L268" i="16"/>
  <c r="L222" i="16"/>
  <c r="O222" i="16" s="1"/>
  <c r="L188" i="16"/>
  <c r="L186" i="16" s="1"/>
  <c r="P126" i="16"/>
  <c r="O99" i="16"/>
  <c r="O67" i="16"/>
  <c r="P385" i="16"/>
  <c r="N358" i="16"/>
  <c r="N356" i="16" s="1"/>
  <c r="L359" i="16"/>
  <c r="O359" i="16" s="1"/>
  <c r="L339" i="16"/>
  <c r="O339" i="16" s="1"/>
  <c r="N322" i="16"/>
  <c r="N320" i="16" s="1"/>
  <c r="N323" i="16"/>
  <c r="L254" i="16"/>
  <c r="O254" i="16" s="1"/>
  <c r="O194" i="16"/>
  <c r="N96" i="16"/>
  <c r="N94" i="16" s="1"/>
  <c r="N97" i="16"/>
  <c r="P80" i="16"/>
  <c r="L19" i="16"/>
  <c r="O19" i="16" s="1"/>
  <c r="P382" i="16"/>
  <c r="M380" i="16"/>
  <c r="P380" i="16" s="1"/>
  <c r="K371" i="16"/>
  <c r="P359" i="16"/>
  <c r="J351" i="16"/>
  <c r="N335" i="16"/>
  <c r="L336" i="16"/>
  <c r="O336" i="16" s="1"/>
  <c r="L323" i="16"/>
  <c r="O323" i="16" s="1"/>
  <c r="O287" i="16"/>
  <c r="L203" i="16"/>
  <c r="O203" i="16" s="1"/>
  <c r="P147" i="16"/>
  <c r="L97" i="16"/>
  <c r="O97" i="16" s="1"/>
  <c r="I83" i="16"/>
  <c r="I71" i="16" s="1"/>
  <c r="K71" i="16" s="1"/>
  <c r="M74" i="16"/>
  <c r="P74" i="16" s="1"/>
  <c r="O64" i="16"/>
  <c r="N62" i="16"/>
  <c r="O62" i="16" s="1"/>
  <c r="P49" i="16"/>
  <c r="M19" i="16"/>
  <c r="K365" i="16"/>
  <c r="P285" i="16"/>
  <c r="L176" i="16"/>
  <c r="O176" i="16" s="1"/>
  <c r="M163" i="16"/>
  <c r="P163" i="16" s="1"/>
  <c r="P19" i="16"/>
  <c r="O285" i="15"/>
  <c r="O385" i="16"/>
  <c r="O382" i="16"/>
  <c r="P364" i="16"/>
  <c r="P361" i="16"/>
  <c r="O357" i="16"/>
  <c r="P341" i="16"/>
  <c r="P338" i="16"/>
  <c r="O334" i="16"/>
  <c r="M326" i="16"/>
  <c r="P326" i="16" s="1"/>
  <c r="M323" i="16"/>
  <c r="P323" i="16" s="1"/>
  <c r="P311" i="16"/>
  <c r="N305" i="16"/>
  <c r="N303" i="16" s="1"/>
  <c r="P274" i="16"/>
  <c r="N268" i="16"/>
  <c r="N266" i="16" s="1"/>
  <c r="L233" i="16"/>
  <c r="P194" i="16"/>
  <c r="O191" i="16"/>
  <c r="N188" i="16"/>
  <c r="L163" i="16"/>
  <c r="O163" i="16" s="1"/>
  <c r="N159" i="16"/>
  <c r="N157" i="16" s="1"/>
  <c r="L128" i="16"/>
  <c r="O128" i="16" s="1"/>
  <c r="N74" i="16"/>
  <c r="N72" i="16" s="1"/>
  <c r="P67" i="16"/>
  <c r="M65" i="16"/>
  <c r="P65" i="16" s="1"/>
  <c r="O60" i="16"/>
  <c r="I195" i="16"/>
  <c r="K195" i="16" s="1"/>
  <c r="M97" i="16"/>
  <c r="P97" i="16" s="1"/>
  <c r="P99" i="16"/>
  <c r="L75" i="16"/>
  <c r="O75" i="16" s="1"/>
  <c r="O77" i="16"/>
  <c r="N379" i="16"/>
  <c r="N377" i="16" s="1"/>
  <c r="O361" i="16"/>
  <c r="O338" i="16"/>
  <c r="P321" i="16"/>
  <c r="M305" i="16"/>
  <c r="P305" i="16" s="1"/>
  <c r="I302" i="16"/>
  <c r="K302" i="16" s="1"/>
  <c r="L288" i="16"/>
  <c r="O288" i="16" s="1"/>
  <c r="N284" i="16"/>
  <c r="N282" i="16" s="1"/>
  <c r="M268" i="16"/>
  <c r="P268" i="16" s="1"/>
  <c r="M188" i="16"/>
  <c r="L179" i="16"/>
  <c r="O179" i="16" s="1"/>
  <c r="N175" i="16"/>
  <c r="N173" i="16" s="1"/>
  <c r="P162" i="16"/>
  <c r="M159" i="16"/>
  <c r="P159" i="16" s="1"/>
  <c r="N141" i="16"/>
  <c r="N139" i="16" s="1"/>
  <c r="I138" i="16"/>
  <c r="K138" i="16" s="1"/>
  <c r="M100" i="16"/>
  <c r="P100" i="16" s="1"/>
  <c r="P102" i="16"/>
  <c r="I93" i="16"/>
  <c r="K93" i="16" s="1"/>
  <c r="L74" i="16"/>
  <c r="M322" i="16"/>
  <c r="P322" i="16" s="1"/>
  <c r="L285" i="16"/>
  <c r="O285" i="16" s="1"/>
  <c r="P341" i="15"/>
  <c r="P338" i="15"/>
  <c r="P304" i="16"/>
  <c r="K292" i="16"/>
  <c r="P287" i="16"/>
  <c r="M284" i="16"/>
  <c r="P267" i="16"/>
  <c r="P187" i="16"/>
  <c r="K183" i="16"/>
  <c r="P178" i="16"/>
  <c r="M175" i="16"/>
  <c r="I156" i="16"/>
  <c r="K156" i="16" s="1"/>
  <c r="I169" i="16"/>
  <c r="K169" i="16" s="1"/>
  <c r="L159" i="16"/>
  <c r="L145" i="16"/>
  <c r="O145" i="16" s="1"/>
  <c r="L141" i="16"/>
  <c r="N127" i="16"/>
  <c r="N125" i="16" s="1"/>
  <c r="K85" i="16"/>
  <c r="L78" i="16"/>
  <c r="O78" i="16" s="1"/>
  <c r="O80" i="16"/>
  <c r="P77" i="16"/>
  <c r="P64" i="16"/>
  <c r="M62" i="16"/>
  <c r="M61" i="16"/>
  <c r="N26" i="16"/>
  <c r="N24" i="16" s="1"/>
  <c r="L26" i="16"/>
  <c r="P181" i="15"/>
  <c r="L379" i="16"/>
  <c r="M358" i="16"/>
  <c r="M335" i="16"/>
  <c r="L284" i="16"/>
  <c r="L234" i="16"/>
  <c r="K209" i="16"/>
  <c r="L175" i="16"/>
  <c r="L131" i="16"/>
  <c r="O131" i="16" s="1"/>
  <c r="L127" i="16"/>
  <c r="M96" i="16"/>
  <c r="I92" i="16"/>
  <c r="K92" i="16" s="1"/>
  <c r="M26" i="16"/>
  <c r="P26" i="16" s="1"/>
  <c r="K109" i="14"/>
  <c r="K209" i="15"/>
  <c r="K260" i="16"/>
  <c r="I253" i="16"/>
  <c r="L160" i="16"/>
  <c r="O160" i="16" s="1"/>
  <c r="M75" i="16"/>
  <c r="P75" i="16" s="1"/>
  <c r="P73" i="16"/>
  <c r="N19" i="16"/>
  <c r="O52" i="16"/>
  <c r="O49" i="16"/>
  <c r="P25" i="16"/>
  <c r="N23" i="16"/>
  <c r="N46" i="16"/>
  <c r="N44" i="16" s="1"/>
  <c r="M23" i="16"/>
  <c r="N50" i="16"/>
  <c r="M46" i="16"/>
  <c r="M44" i="16" s="1"/>
  <c r="L23" i="16"/>
  <c r="M50" i="16"/>
  <c r="P50" i="16" s="1"/>
  <c r="L46" i="16"/>
  <c r="L44" i="16" s="1"/>
  <c r="O22" i="16"/>
  <c r="O385" i="15"/>
  <c r="L141" i="14"/>
  <c r="L139" i="14" s="1"/>
  <c r="L214" i="15"/>
  <c r="O214" i="15" s="1"/>
  <c r="L268" i="15"/>
  <c r="O268" i="15" s="1"/>
  <c r="M335" i="15"/>
  <c r="M333" i="15" s="1"/>
  <c r="P64" i="15"/>
  <c r="O165" i="15"/>
  <c r="L358" i="15"/>
  <c r="L356" i="15" s="1"/>
  <c r="M176" i="15"/>
  <c r="M175" i="15"/>
  <c r="M173" i="15" s="1"/>
  <c r="L128" i="15"/>
  <c r="O128" i="15" s="1"/>
  <c r="O130" i="15"/>
  <c r="I281" i="15"/>
  <c r="K281" i="15" s="1"/>
  <c r="O274" i="14"/>
  <c r="L269" i="14"/>
  <c r="O269" i="14" s="1"/>
  <c r="L322" i="15"/>
  <c r="L320" i="15" s="1"/>
  <c r="O320" i="15" s="1"/>
  <c r="O290" i="15"/>
  <c r="I136" i="15"/>
  <c r="K136" i="15" s="1"/>
  <c r="K154" i="15"/>
  <c r="L142" i="15"/>
  <c r="O142" i="15" s="1"/>
  <c r="O144" i="15"/>
  <c r="K369" i="15"/>
  <c r="O364" i="15"/>
  <c r="O361" i="15"/>
  <c r="L305" i="15"/>
  <c r="O305" i="15" s="1"/>
  <c r="L222" i="15"/>
  <c r="O222" i="15" s="1"/>
  <c r="L379" i="15"/>
  <c r="O379" i="15" s="1"/>
  <c r="K330" i="15"/>
  <c r="K240" i="15"/>
  <c r="N159" i="15"/>
  <c r="N157" i="15" s="1"/>
  <c r="J332" i="15"/>
  <c r="K332" i="15" s="1"/>
  <c r="K251" i="15"/>
  <c r="N175" i="15"/>
  <c r="N173" i="15" s="1"/>
  <c r="N74" i="15"/>
  <c r="N72" i="15" s="1"/>
  <c r="P191" i="15"/>
  <c r="O67" i="15"/>
  <c r="M188" i="15"/>
  <c r="M186" i="15" s="1"/>
  <c r="K167" i="15"/>
  <c r="L96" i="15"/>
  <c r="I137" i="15"/>
  <c r="K137" i="15" s="1"/>
  <c r="O287" i="14"/>
  <c r="L380" i="15"/>
  <c r="O380" i="15" s="1"/>
  <c r="K368" i="15"/>
  <c r="P364" i="15"/>
  <c r="P361" i="15"/>
  <c r="L359" i="15"/>
  <c r="O341" i="15"/>
  <c r="P311" i="15"/>
  <c r="N305" i="15"/>
  <c r="N303" i="15" s="1"/>
  <c r="L236" i="15"/>
  <c r="J231" i="15"/>
  <c r="J185" i="15" s="1"/>
  <c r="L175" i="15"/>
  <c r="I169" i="15"/>
  <c r="K169" i="15" s="1"/>
  <c r="M163" i="15"/>
  <c r="P163" i="15" s="1"/>
  <c r="P99" i="15"/>
  <c r="P80" i="15"/>
  <c r="M74" i="15"/>
  <c r="M75" i="15"/>
  <c r="P52" i="15"/>
  <c r="M46" i="15"/>
  <c r="M47" i="15"/>
  <c r="M358" i="15"/>
  <c r="M356" i="15" s="1"/>
  <c r="P328" i="15"/>
  <c r="M305" i="15"/>
  <c r="P305" i="15" s="1"/>
  <c r="P285" i="15"/>
  <c r="P271" i="15"/>
  <c r="M268" i="15"/>
  <c r="P268" i="15" s="1"/>
  <c r="I253" i="15"/>
  <c r="K253" i="15" s="1"/>
  <c r="I221" i="15"/>
  <c r="K221" i="15" s="1"/>
  <c r="M189" i="15"/>
  <c r="P189" i="15" s="1"/>
  <c r="K172" i="15"/>
  <c r="I168" i="15"/>
  <c r="K168" i="15" s="1"/>
  <c r="M141" i="15"/>
  <c r="P141" i="15" s="1"/>
  <c r="M127" i="15"/>
  <c r="P127" i="15" s="1"/>
  <c r="N96" i="15"/>
  <c r="N94" i="15" s="1"/>
  <c r="L97" i="15"/>
  <c r="O97" i="15" s="1"/>
  <c r="K344" i="15"/>
  <c r="N268" i="15"/>
  <c r="N266" i="15" s="1"/>
  <c r="L234" i="15"/>
  <c r="L203" i="15"/>
  <c r="O203" i="15" s="1"/>
  <c r="K198" i="15"/>
  <c r="N160" i="15"/>
  <c r="O160" i="15" s="1"/>
  <c r="O147" i="15"/>
  <c r="L141" i="15"/>
  <c r="O141" i="15" s="1"/>
  <c r="O133" i="15"/>
  <c r="L127" i="15"/>
  <c r="O127" i="15" s="1"/>
  <c r="N61" i="15"/>
  <c r="N59" i="15" s="1"/>
  <c r="M61" i="15"/>
  <c r="M59" i="15" s="1"/>
  <c r="K365" i="15"/>
  <c r="N75" i="15"/>
  <c r="O75" i="15" s="1"/>
  <c r="J343" i="15"/>
  <c r="L284" i="15"/>
  <c r="L282" i="15" s="1"/>
  <c r="L233" i="15"/>
  <c r="P178" i="15"/>
  <c r="M159" i="15"/>
  <c r="M160" i="15"/>
  <c r="P160" i="15" s="1"/>
  <c r="P77" i="15"/>
  <c r="P49" i="15"/>
  <c r="N335" i="15"/>
  <c r="N47" i="15"/>
  <c r="K371" i="15"/>
  <c r="O338" i="15"/>
  <c r="M322" i="15"/>
  <c r="P322" i="15" s="1"/>
  <c r="O189" i="15"/>
  <c r="O178" i="15"/>
  <c r="N176" i="15"/>
  <c r="O176" i="15" s="1"/>
  <c r="P144" i="15"/>
  <c r="P130" i="15"/>
  <c r="O77" i="15"/>
  <c r="O62" i="15"/>
  <c r="N379" i="15"/>
  <c r="N377" i="15" s="1"/>
  <c r="L46" i="15"/>
  <c r="M379" i="15"/>
  <c r="P379" i="15" s="1"/>
  <c r="N358" i="15"/>
  <c r="L326" i="15"/>
  <c r="O326" i="15" s="1"/>
  <c r="M306" i="15"/>
  <c r="P306" i="15" s="1"/>
  <c r="I280" i="15"/>
  <c r="K280" i="15" s="1"/>
  <c r="N269" i="15"/>
  <c r="L254" i="15"/>
  <c r="O254" i="15" s="1"/>
  <c r="M192" i="15"/>
  <c r="P192" i="15" s="1"/>
  <c r="M383" i="15"/>
  <c r="P383" i="15" s="1"/>
  <c r="M380" i="15"/>
  <c r="P380" i="15" s="1"/>
  <c r="N359" i="15"/>
  <c r="N336" i="15"/>
  <c r="L335" i="15"/>
  <c r="L333" i="15" s="1"/>
  <c r="L306" i="15"/>
  <c r="O306" i="15" s="1"/>
  <c r="P287" i="15"/>
  <c r="P274" i="15"/>
  <c r="O181" i="15"/>
  <c r="L159" i="15"/>
  <c r="P147" i="15"/>
  <c r="P133" i="15"/>
  <c r="I93" i="15"/>
  <c r="K93" i="15" s="1"/>
  <c r="I83" i="15"/>
  <c r="M65" i="15"/>
  <c r="P65" i="15" s="1"/>
  <c r="L61" i="15"/>
  <c r="O19" i="15"/>
  <c r="N19" i="15"/>
  <c r="L74" i="15"/>
  <c r="N23" i="15"/>
  <c r="K371" i="14"/>
  <c r="P378" i="15"/>
  <c r="O334" i="15"/>
  <c r="O325" i="15"/>
  <c r="N322" i="15"/>
  <c r="N320" i="15" s="1"/>
  <c r="P290" i="15"/>
  <c r="O287" i="15"/>
  <c r="N284" i="15"/>
  <c r="L269" i="15"/>
  <c r="O269" i="15" s="1"/>
  <c r="O267" i="15"/>
  <c r="I242" i="15"/>
  <c r="K249" i="15"/>
  <c r="I238" i="15"/>
  <c r="K238" i="15" s="1"/>
  <c r="P194" i="15"/>
  <c r="O191" i="15"/>
  <c r="N188" i="15"/>
  <c r="O174" i="15"/>
  <c r="O162" i="15"/>
  <c r="P140" i="15"/>
  <c r="P126" i="15"/>
  <c r="P97" i="15"/>
  <c r="O80" i="15"/>
  <c r="O64" i="15"/>
  <c r="O52" i="15"/>
  <c r="M19" i="15"/>
  <c r="P22" i="15"/>
  <c r="L323" i="15"/>
  <c r="O323" i="15" s="1"/>
  <c r="N306" i="15"/>
  <c r="I302" i="15"/>
  <c r="K302" i="15" s="1"/>
  <c r="O325" i="14"/>
  <c r="L309" i="15"/>
  <c r="O309" i="15" s="1"/>
  <c r="M284" i="15"/>
  <c r="N232" i="15"/>
  <c r="I241" i="15"/>
  <c r="K241" i="15" s="1"/>
  <c r="O194" i="15"/>
  <c r="N145" i="15"/>
  <c r="N26" i="15"/>
  <c r="N24" i="15" s="1"/>
  <c r="N131" i="15"/>
  <c r="K108" i="15"/>
  <c r="I92" i="15"/>
  <c r="K92" i="15" s="1"/>
  <c r="M96" i="15"/>
  <c r="I82" i="15"/>
  <c r="L47" i="15"/>
  <c r="L23" i="15"/>
  <c r="L26" i="15"/>
  <c r="I281" i="14"/>
  <c r="K281" i="14" s="1"/>
  <c r="P308" i="15"/>
  <c r="L272" i="15"/>
  <c r="O272" i="15" s="1"/>
  <c r="L243" i="15"/>
  <c r="L188" i="15"/>
  <c r="K183" i="15"/>
  <c r="N127" i="15"/>
  <c r="N125" i="15" s="1"/>
  <c r="P102" i="15"/>
  <c r="M62" i="15"/>
  <c r="P62" i="15" s="1"/>
  <c r="O60" i="15"/>
  <c r="M26" i="15"/>
  <c r="P26" i="15" s="1"/>
  <c r="K153" i="15"/>
  <c r="O99" i="15"/>
  <c r="K85" i="15"/>
  <c r="O25" i="15"/>
  <c r="M23" i="15"/>
  <c r="M21" i="15" s="1"/>
  <c r="N188" i="14"/>
  <c r="N186" i="14" s="1"/>
  <c r="M323" i="14"/>
  <c r="P323" i="14" s="1"/>
  <c r="P271" i="14"/>
  <c r="I213" i="14"/>
  <c r="K213" i="14" s="1"/>
  <c r="O189" i="14"/>
  <c r="I172" i="14"/>
  <c r="K172" i="14" s="1"/>
  <c r="L127" i="14"/>
  <c r="O127" i="14" s="1"/>
  <c r="P52" i="14"/>
  <c r="K346" i="14"/>
  <c r="L243" i="14"/>
  <c r="O243" i="14" s="1"/>
  <c r="L234" i="14"/>
  <c r="N159" i="14"/>
  <c r="N157" i="14" s="1"/>
  <c r="J351" i="14"/>
  <c r="L235" i="14"/>
  <c r="L214" i="14"/>
  <c r="O214" i="14" s="1"/>
  <c r="L203" i="14"/>
  <c r="O203" i="14" s="1"/>
  <c r="L74" i="14"/>
  <c r="O74" i="14" s="1"/>
  <c r="L61" i="14"/>
  <c r="L59" i="14" s="1"/>
  <c r="K369" i="14"/>
  <c r="P364" i="14"/>
  <c r="I82" i="14"/>
  <c r="K82" i="14" s="1"/>
  <c r="N379" i="14"/>
  <c r="N377" i="14" s="1"/>
  <c r="O364" i="14"/>
  <c r="O361" i="14"/>
  <c r="J343" i="14"/>
  <c r="O311" i="14"/>
  <c r="K260" i="14"/>
  <c r="I238" i="14"/>
  <c r="K238" i="14" s="1"/>
  <c r="I195" i="14"/>
  <c r="K195" i="14" s="1"/>
  <c r="O162" i="14"/>
  <c r="N160" i="14"/>
  <c r="K154" i="14"/>
  <c r="L142" i="14"/>
  <c r="K108" i="14"/>
  <c r="L78" i="14"/>
  <c r="O78" i="14" s="1"/>
  <c r="O67" i="14"/>
  <c r="K229" i="14"/>
  <c r="O147" i="14"/>
  <c r="L322" i="14"/>
  <c r="O322" i="14" s="1"/>
  <c r="K293" i="14"/>
  <c r="N268" i="14"/>
  <c r="N266" i="14" s="1"/>
  <c r="M145" i="14"/>
  <c r="P145" i="14" s="1"/>
  <c r="L131" i="14"/>
  <c r="O131" i="14" s="1"/>
  <c r="M96" i="14"/>
  <c r="P96" i="14" s="1"/>
  <c r="L50" i="14"/>
  <c r="O50" i="14" s="1"/>
  <c r="L128" i="14"/>
  <c r="O128" i="14" s="1"/>
  <c r="O77" i="13"/>
  <c r="O382" i="14"/>
  <c r="N380" i="14"/>
  <c r="K368" i="14"/>
  <c r="P341" i="14"/>
  <c r="M322" i="14"/>
  <c r="P322" i="14" s="1"/>
  <c r="O308" i="14"/>
  <c r="I302" i="14"/>
  <c r="K302" i="14" s="1"/>
  <c r="L284" i="14"/>
  <c r="L282" i="14" s="1"/>
  <c r="L236" i="14"/>
  <c r="L179" i="14"/>
  <c r="O179" i="14" s="1"/>
  <c r="M159" i="14"/>
  <c r="P159" i="14" s="1"/>
  <c r="I156" i="14"/>
  <c r="K156" i="14" s="1"/>
  <c r="L96" i="14"/>
  <c r="L94" i="14" s="1"/>
  <c r="O94" i="14" s="1"/>
  <c r="P80" i="14"/>
  <c r="N61" i="14"/>
  <c r="N59" i="14" s="1"/>
  <c r="L62" i="14"/>
  <c r="O62" i="14" s="1"/>
  <c r="P49" i="14"/>
  <c r="I137" i="14"/>
  <c r="K137" i="14" s="1"/>
  <c r="O341" i="14"/>
  <c r="P328" i="14"/>
  <c r="N305" i="14"/>
  <c r="N303" i="14" s="1"/>
  <c r="O290" i="14"/>
  <c r="I242" i="14"/>
  <c r="I231" i="14" s="1"/>
  <c r="K231" i="14" s="1"/>
  <c r="K221" i="14"/>
  <c r="I202" i="14"/>
  <c r="K202" i="14" s="1"/>
  <c r="L192" i="14"/>
  <c r="O192" i="14" s="1"/>
  <c r="N175" i="14"/>
  <c r="N173" i="14" s="1"/>
  <c r="O176" i="14"/>
  <c r="P165" i="14"/>
  <c r="L159" i="14"/>
  <c r="O159" i="14" s="1"/>
  <c r="N141" i="14"/>
  <c r="P133" i="14"/>
  <c r="O130" i="14"/>
  <c r="I83" i="14"/>
  <c r="N46" i="14"/>
  <c r="N44" i="14" s="1"/>
  <c r="O47" i="14"/>
  <c r="J332" i="14"/>
  <c r="K332" i="14" s="1"/>
  <c r="L26" i="14"/>
  <c r="O26" i="14" s="1"/>
  <c r="M379" i="14"/>
  <c r="M377" i="14" s="1"/>
  <c r="P377" i="14" s="1"/>
  <c r="P336" i="14"/>
  <c r="O328" i="14"/>
  <c r="N284" i="14"/>
  <c r="N282" i="14" s="1"/>
  <c r="P176" i="14"/>
  <c r="O165" i="14"/>
  <c r="M141" i="14"/>
  <c r="M139" i="14" s="1"/>
  <c r="M100" i="14"/>
  <c r="P100" i="14" s="1"/>
  <c r="P77" i="14"/>
  <c r="P47" i="14"/>
  <c r="K365" i="14"/>
  <c r="L358" i="14"/>
  <c r="L356" i="14" s="1"/>
  <c r="K344" i="14"/>
  <c r="O336" i="14"/>
  <c r="L305" i="14"/>
  <c r="O305" i="14" s="1"/>
  <c r="P287" i="14"/>
  <c r="L268" i="14"/>
  <c r="O268" i="14" s="1"/>
  <c r="L233" i="14"/>
  <c r="L175" i="14"/>
  <c r="M127" i="14"/>
  <c r="P127" i="14" s="1"/>
  <c r="M128" i="14"/>
  <c r="P128" i="14" s="1"/>
  <c r="L100" i="14"/>
  <c r="O100" i="14" s="1"/>
  <c r="M97" i="14"/>
  <c r="P97" i="14" s="1"/>
  <c r="N74" i="14"/>
  <c r="N72" i="14" s="1"/>
  <c r="L75" i="14"/>
  <c r="O75" i="14" s="1"/>
  <c r="L46" i="14"/>
  <c r="L44" i="14" s="1"/>
  <c r="N192" i="14"/>
  <c r="P19" i="14"/>
  <c r="P285" i="13"/>
  <c r="P165" i="13"/>
  <c r="O133" i="13"/>
  <c r="O130" i="13"/>
  <c r="M383" i="14"/>
  <c r="P383" i="14" s="1"/>
  <c r="M380" i="14"/>
  <c r="P380" i="14" s="1"/>
  <c r="L379" i="14"/>
  <c r="O379" i="14" s="1"/>
  <c r="N359" i="14"/>
  <c r="O359" i="14" s="1"/>
  <c r="M358" i="14"/>
  <c r="M356" i="14" s="1"/>
  <c r="P308" i="14"/>
  <c r="M305" i="14"/>
  <c r="P305" i="14" s="1"/>
  <c r="N285" i="14"/>
  <c r="O285" i="14" s="1"/>
  <c r="O283" i="14"/>
  <c r="P274" i="14"/>
  <c r="O267" i="14"/>
  <c r="L222" i="14"/>
  <c r="O222" i="14" s="1"/>
  <c r="M188" i="14"/>
  <c r="I138" i="14"/>
  <c r="K138" i="14" s="1"/>
  <c r="K153" i="14"/>
  <c r="O19" i="14"/>
  <c r="K314" i="13"/>
  <c r="M269" i="13"/>
  <c r="P269" i="13" s="1"/>
  <c r="L233" i="13"/>
  <c r="P99" i="13"/>
  <c r="L383" i="14"/>
  <c r="O383" i="14" s="1"/>
  <c r="P338" i="14"/>
  <c r="M335" i="14"/>
  <c r="K330" i="14"/>
  <c r="P290" i="14"/>
  <c r="P191" i="14"/>
  <c r="P181" i="14"/>
  <c r="M175" i="14"/>
  <c r="P162" i="14"/>
  <c r="O60" i="14"/>
  <c r="I280" i="14"/>
  <c r="K280" i="14" s="1"/>
  <c r="P382" i="14"/>
  <c r="O378" i="14"/>
  <c r="P357" i="14"/>
  <c r="O338" i="14"/>
  <c r="L335" i="14"/>
  <c r="N322" i="14"/>
  <c r="N320" i="14" s="1"/>
  <c r="P311" i="14"/>
  <c r="O304" i="14"/>
  <c r="N272" i="14"/>
  <c r="O187" i="14"/>
  <c r="N127" i="14"/>
  <c r="N125" i="14" s="1"/>
  <c r="M26" i="14"/>
  <c r="P67" i="14"/>
  <c r="M65" i="14"/>
  <c r="P65" i="14" s="1"/>
  <c r="N358" i="14"/>
  <c r="N356" i="14" s="1"/>
  <c r="P361" i="14"/>
  <c r="N335" i="14"/>
  <c r="N333" i="14" s="1"/>
  <c r="N288" i="14"/>
  <c r="L254" i="14"/>
  <c r="O254" i="14" s="1"/>
  <c r="P189" i="14"/>
  <c r="N26" i="14"/>
  <c r="N24" i="14" s="1"/>
  <c r="P144" i="14"/>
  <c r="N142" i="14"/>
  <c r="K292" i="13"/>
  <c r="I169" i="13"/>
  <c r="K169" i="13" s="1"/>
  <c r="P321" i="14"/>
  <c r="M284" i="14"/>
  <c r="M268" i="14"/>
  <c r="P268" i="14" s="1"/>
  <c r="P194" i="14"/>
  <c r="O191" i="14"/>
  <c r="P178" i="14"/>
  <c r="O144" i="14"/>
  <c r="P64" i="14"/>
  <c r="M62" i="14"/>
  <c r="P62" i="14" s="1"/>
  <c r="M61" i="14"/>
  <c r="N19" i="14"/>
  <c r="L188" i="14"/>
  <c r="O178" i="14"/>
  <c r="P99" i="14"/>
  <c r="O77" i="14"/>
  <c r="O49" i="14"/>
  <c r="N23" i="14"/>
  <c r="O99" i="14"/>
  <c r="K85" i="14"/>
  <c r="P60" i="14"/>
  <c r="O25" i="14"/>
  <c r="M23" i="14"/>
  <c r="N96" i="14"/>
  <c r="N94" i="14" s="1"/>
  <c r="M74" i="14"/>
  <c r="P74" i="14" s="1"/>
  <c r="M46" i="14"/>
  <c r="L23" i="14"/>
  <c r="L21" i="14" s="1"/>
  <c r="K84" i="14"/>
  <c r="O64" i="14"/>
  <c r="P22" i="14"/>
  <c r="P385" i="13"/>
  <c r="J351" i="13"/>
  <c r="P176" i="13"/>
  <c r="N358" i="13"/>
  <c r="N356" i="13" s="1"/>
  <c r="J343" i="13"/>
  <c r="P102" i="13"/>
  <c r="L339" i="13"/>
  <c r="O339" i="13" s="1"/>
  <c r="K369" i="13"/>
  <c r="K229" i="13"/>
  <c r="O181" i="13"/>
  <c r="P178" i="13"/>
  <c r="L163" i="13"/>
  <c r="O163" i="13" s="1"/>
  <c r="O165" i="13"/>
  <c r="M379" i="13"/>
  <c r="M377" i="13" s="1"/>
  <c r="P377" i="13" s="1"/>
  <c r="L222" i="13"/>
  <c r="O222" i="13" s="1"/>
  <c r="I195" i="13"/>
  <c r="K195" i="13" s="1"/>
  <c r="K198" i="13"/>
  <c r="L254" i="13"/>
  <c r="O254" i="13" s="1"/>
  <c r="O287" i="13"/>
  <c r="L236" i="13"/>
  <c r="I93" i="13"/>
  <c r="K93" i="13" s="1"/>
  <c r="K109" i="13"/>
  <c r="N74" i="13"/>
  <c r="N72" i="13" s="1"/>
  <c r="N75" i="13"/>
  <c r="N305" i="12"/>
  <c r="N303" i="12" s="1"/>
  <c r="K371" i="13"/>
  <c r="K346" i="13"/>
  <c r="O338" i="13"/>
  <c r="I319" i="13"/>
  <c r="K319" i="13" s="1"/>
  <c r="M309" i="13"/>
  <c r="P309" i="13" s="1"/>
  <c r="L50" i="13"/>
  <c r="O50" i="13" s="1"/>
  <c r="O52" i="13"/>
  <c r="N188" i="13"/>
  <c r="N186" i="13" s="1"/>
  <c r="P162" i="13"/>
  <c r="I82" i="13"/>
  <c r="K82" i="13" s="1"/>
  <c r="P49" i="13"/>
  <c r="P181" i="13"/>
  <c r="P80" i="13"/>
  <c r="N23" i="13"/>
  <c r="N21" i="13" s="1"/>
  <c r="I365" i="13"/>
  <c r="K365" i="13" s="1"/>
  <c r="L322" i="13"/>
  <c r="O322" i="13" s="1"/>
  <c r="N305" i="13"/>
  <c r="N303" i="13" s="1"/>
  <c r="O178" i="13"/>
  <c r="O162" i="13"/>
  <c r="K154" i="13"/>
  <c r="O144" i="13"/>
  <c r="I137" i="13"/>
  <c r="K137" i="13" s="1"/>
  <c r="L127" i="13"/>
  <c r="M96" i="13"/>
  <c r="P96" i="13" s="1"/>
  <c r="O80" i="13"/>
  <c r="P64" i="13"/>
  <c r="O49" i="13"/>
  <c r="M362" i="12"/>
  <c r="P362" i="12" s="1"/>
  <c r="L236" i="12"/>
  <c r="P80" i="12"/>
  <c r="L362" i="13"/>
  <c r="O362" i="13" s="1"/>
  <c r="N359" i="13"/>
  <c r="P359" i="13" s="1"/>
  <c r="P328" i="13"/>
  <c r="P290" i="13"/>
  <c r="N232" i="13"/>
  <c r="K221" i="13"/>
  <c r="L214" i="13"/>
  <c r="O214" i="13" s="1"/>
  <c r="I168" i="13"/>
  <c r="K168" i="13" s="1"/>
  <c r="N141" i="13"/>
  <c r="N139" i="13" s="1"/>
  <c r="L96" i="13"/>
  <c r="L94" i="13" s="1"/>
  <c r="O94" i="13" s="1"/>
  <c r="N46" i="13"/>
  <c r="N44" i="13" s="1"/>
  <c r="K368" i="13"/>
  <c r="N335" i="13"/>
  <c r="N333" i="13" s="1"/>
  <c r="O328" i="13"/>
  <c r="K293" i="13"/>
  <c r="O290" i="13"/>
  <c r="P287" i="13"/>
  <c r="J231" i="13"/>
  <c r="J185" i="13" s="1"/>
  <c r="M192" i="13"/>
  <c r="P192" i="13" s="1"/>
  <c r="N189" i="13"/>
  <c r="K167" i="13"/>
  <c r="P77" i="13"/>
  <c r="P47" i="13"/>
  <c r="K369" i="12"/>
  <c r="P382" i="13"/>
  <c r="M380" i="13"/>
  <c r="P380" i="13" s="1"/>
  <c r="P325" i="13"/>
  <c r="N268" i="13"/>
  <c r="N266" i="13" s="1"/>
  <c r="L235" i="13"/>
  <c r="K156" i="13"/>
  <c r="L100" i="13"/>
  <c r="O100" i="13" s="1"/>
  <c r="O47" i="13"/>
  <c r="N61" i="13"/>
  <c r="N59" i="13" s="1"/>
  <c r="L358" i="13"/>
  <c r="L356" i="13" s="1"/>
  <c r="P338" i="13"/>
  <c r="K280" i="13"/>
  <c r="L234" i="13"/>
  <c r="P191" i="13"/>
  <c r="N62" i="13"/>
  <c r="P62" i="13" s="1"/>
  <c r="L19" i="13"/>
  <c r="P130" i="13"/>
  <c r="M128" i="13"/>
  <c r="P128" i="13" s="1"/>
  <c r="O64" i="13"/>
  <c r="L62" i="13"/>
  <c r="L61" i="13"/>
  <c r="L59" i="13" s="1"/>
  <c r="L284" i="12"/>
  <c r="L282" i="12" s="1"/>
  <c r="P130" i="12"/>
  <c r="O385" i="13"/>
  <c r="O382" i="13"/>
  <c r="P364" i="13"/>
  <c r="P361" i="13"/>
  <c r="O357" i="13"/>
  <c r="P341" i="13"/>
  <c r="O274" i="13"/>
  <c r="L272" i="13"/>
  <c r="O272" i="13" s="1"/>
  <c r="M268" i="13"/>
  <c r="P268" i="13" s="1"/>
  <c r="I253" i="13"/>
  <c r="K253" i="13" s="1"/>
  <c r="K260" i="13"/>
  <c r="I238" i="13"/>
  <c r="K238" i="13" s="1"/>
  <c r="L203" i="13"/>
  <c r="O203" i="13" s="1"/>
  <c r="N142" i="13"/>
  <c r="N127" i="13"/>
  <c r="N125" i="13" s="1"/>
  <c r="O267" i="13"/>
  <c r="P147" i="13"/>
  <c r="M145" i="13"/>
  <c r="P145" i="13" s="1"/>
  <c r="O64" i="11"/>
  <c r="N379" i="13"/>
  <c r="N377" i="13" s="1"/>
  <c r="O361" i="13"/>
  <c r="M306" i="13"/>
  <c r="P306" i="13" s="1"/>
  <c r="O304" i="13"/>
  <c r="O285" i="13"/>
  <c r="O271" i="13"/>
  <c r="L269" i="13"/>
  <c r="O269" i="13" s="1"/>
  <c r="L268" i="13"/>
  <c r="O268" i="13" s="1"/>
  <c r="M189" i="13"/>
  <c r="O187" i="13"/>
  <c r="O176" i="13"/>
  <c r="P144" i="13"/>
  <c r="M142" i="13"/>
  <c r="P142" i="13" s="1"/>
  <c r="M127" i="13"/>
  <c r="P127" i="13" s="1"/>
  <c r="M26" i="13"/>
  <c r="P26" i="13" s="1"/>
  <c r="O19" i="13"/>
  <c r="N19" i="13"/>
  <c r="K220" i="12"/>
  <c r="K344" i="13"/>
  <c r="O311" i="13"/>
  <c r="L309" i="13"/>
  <c r="O309" i="13" s="1"/>
  <c r="M305" i="13"/>
  <c r="P305" i="13" s="1"/>
  <c r="I202" i="13"/>
  <c r="K202" i="13" s="1"/>
  <c r="K209" i="13"/>
  <c r="O194" i="13"/>
  <c r="L192" i="13"/>
  <c r="O192" i="13" s="1"/>
  <c r="M188" i="13"/>
  <c r="O160" i="13"/>
  <c r="M141" i="13"/>
  <c r="P141" i="13" s="1"/>
  <c r="N26" i="13"/>
  <c r="N24" i="13" s="1"/>
  <c r="M65" i="13"/>
  <c r="P65" i="13" s="1"/>
  <c r="O60" i="13"/>
  <c r="M19" i="13"/>
  <c r="P22" i="13"/>
  <c r="L379" i="13"/>
  <c r="O379" i="13" s="1"/>
  <c r="M358" i="13"/>
  <c r="J332" i="13"/>
  <c r="K332" i="13" s="1"/>
  <c r="M336" i="13"/>
  <c r="P336" i="13" s="1"/>
  <c r="M335" i="13"/>
  <c r="O308" i="13"/>
  <c r="L306" i="13"/>
  <c r="O306" i="13" s="1"/>
  <c r="L305" i="13"/>
  <c r="O305" i="13" s="1"/>
  <c r="I213" i="13"/>
  <c r="K213" i="13" s="1"/>
  <c r="O191" i="13"/>
  <c r="L189" i="13"/>
  <c r="L188" i="13"/>
  <c r="P133" i="13"/>
  <c r="M131" i="13"/>
  <c r="P131" i="13" s="1"/>
  <c r="P126" i="13"/>
  <c r="L26" i="13"/>
  <c r="O26" i="13" s="1"/>
  <c r="L336" i="13"/>
  <c r="O336" i="13" s="1"/>
  <c r="L335" i="13"/>
  <c r="M272" i="13"/>
  <c r="P272" i="13" s="1"/>
  <c r="L243" i="13"/>
  <c r="P140" i="13"/>
  <c r="K108" i="13"/>
  <c r="I92" i="13"/>
  <c r="K92" i="13" s="1"/>
  <c r="I83" i="13"/>
  <c r="O67" i="13"/>
  <c r="L65" i="13"/>
  <c r="O65" i="13" s="1"/>
  <c r="M61" i="13"/>
  <c r="O325" i="13"/>
  <c r="N284" i="13"/>
  <c r="N282" i="13" s="1"/>
  <c r="I242" i="13"/>
  <c r="N175" i="13"/>
  <c r="N173" i="13" s="1"/>
  <c r="N159" i="13"/>
  <c r="N157" i="13" s="1"/>
  <c r="K153" i="13"/>
  <c r="L141" i="13"/>
  <c r="O141" i="13" s="1"/>
  <c r="O99" i="13"/>
  <c r="K85" i="13"/>
  <c r="O25" i="13"/>
  <c r="M23" i="13"/>
  <c r="N322" i="13"/>
  <c r="N320" i="13" s="1"/>
  <c r="M284" i="13"/>
  <c r="M175" i="13"/>
  <c r="M159" i="13"/>
  <c r="L145" i="13"/>
  <c r="O145" i="13" s="1"/>
  <c r="N96" i="13"/>
  <c r="N94" i="13" s="1"/>
  <c r="M74" i="13"/>
  <c r="M46" i="13"/>
  <c r="L23" i="13"/>
  <c r="M322" i="13"/>
  <c r="L284" i="13"/>
  <c r="K183" i="13"/>
  <c r="L175" i="13"/>
  <c r="L159" i="13"/>
  <c r="K84" i="13"/>
  <c r="L74" i="13"/>
  <c r="O74" i="13" s="1"/>
  <c r="M50" i="13"/>
  <c r="P50" i="13" s="1"/>
  <c r="L46" i="13"/>
  <c r="P338" i="12"/>
  <c r="L305" i="12"/>
  <c r="O305" i="12" s="1"/>
  <c r="L188" i="12"/>
  <c r="L186" i="12" s="1"/>
  <c r="K169" i="12"/>
  <c r="O364" i="12"/>
  <c r="O311" i="12"/>
  <c r="O361" i="12"/>
  <c r="O308" i="12"/>
  <c r="L235" i="12"/>
  <c r="P178" i="12"/>
  <c r="O336" i="12"/>
  <c r="L268" i="12"/>
  <c r="O268" i="12" s="1"/>
  <c r="K368" i="12"/>
  <c r="P361" i="12"/>
  <c r="I221" i="12"/>
  <c r="K221" i="12" s="1"/>
  <c r="L214" i="12"/>
  <c r="O214" i="12" s="1"/>
  <c r="K154" i="12"/>
  <c r="P144" i="12"/>
  <c r="L61" i="12"/>
  <c r="L59" i="12" s="1"/>
  <c r="O359" i="12"/>
  <c r="O341" i="12"/>
  <c r="M339" i="12"/>
  <c r="P339" i="12" s="1"/>
  <c r="P328" i="12"/>
  <c r="O274" i="12"/>
  <c r="L234" i="12"/>
  <c r="O338" i="12"/>
  <c r="M336" i="12"/>
  <c r="P336" i="12" s="1"/>
  <c r="O328" i="12"/>
  <c r="M284" i="12"/>
  <c r="M282" i="12" s="1"/>
  <c r="N268" i="12"/>
  <c r="N266" i="12" s="1"/>
  <c r="O271" i="12"/>
  <c r="O194" i="12"/>
  <c r="M179" i="12"/>
  <c r="P179" i="12" s="1"/>
  <c r="P181" i="12"/>
  <c r="P287" i="12"/>
  <c r="I83" i="12"/>
  <c r="K83" i="12" s="1"/>
  <c r="L96" i="12"/>
  <c r="O96" i="12" s="1"/>
  <c r="M74" i="12"/>
  <c r="P74" i="12" s="1"/>
  <c r="L322" i="12"/>
  <c r="J351" i="12"/>
  <c r="K346" i="12"/>
  <c r="L222" i="12"/>
  <c r="O222" i="12" s="1"/>
  <c r="N141" i="12"/>
  <c r="N139" i="12" s="1"/>
  <c r="K369" i="11"/>
  <c r="O361" i="11"/>
  <c r="O191" i="11"/>
  <c r="P359" i="12"/>
  <c r="K344" i="12"/>
  <c r="P325" i="12"/>
  <c r="L306" i="12"/>
  <c r="O306" i="12" s="1"/>
  <c r="K292" i="12"/>
  <c r="L269" i="12"/>
  <c r="O269" i="12" s="1"/>
  <c r="L243" i="12"/>
  <c r="L203" i="12"/>
  <c r="O203" i="12" s="1"/>
  <c r="P191" i="12"/>
  <c r="N175" i="12"/>
  <c r="N173" i="12" s="1"/>
  <c r="M141" i="12"/>
  <c r="M139" i="12" s="1"/>
  <c r="I137" i="12"/>
  <c r="K137" i="12" s="1"/>
  <c r="M127" i="12"/>
  <c r="P127" i="12" s="1"/>
  <c r="O102" i="12"/>
  <c r="I82" i="12"/>
  <c r="K82" i="12" s="1"/>
  <c r="P77" i="12"/>
  <c r="M75" i="12"/>
  <c r="P75" i="12" s="1"/>
  <c r="O67" i="12"/>
  <c r="K183" i="11"/>
  <c r="L100" i="11"/>
  <c r="O100" i="11" s="1"/>
  <c r="K371" i="12"/>
  <c r="O325" i="12"/>
  <c r="K209" i="12"/>
  <c r="O191" i="12"/>
  <c r="M175" i="12"/>
  <c r="M173" i="12" s="1"/>
  <c r="K153" i="12"/>
  <c r="L383" i="12"/>
  <c r="O383" i="12" s="1"/>
  <c r="O304" i="12"/>
  <c r="N284" i="12"/>
  <c r="N282" i="12" s="1"/>
  <c r="O267" i="12"/>
  <c r="N188" i="12"/>
  <c r="L189" i="12"/>
  <c r="O189" i="12" s="1"/>
  <c r="K138" i="12"/>
  <c r="O99" i="12"/>
  <c r="O64" i="12"/>
  <c r="P52" i="12"/>
  <c r="L19" i="12"/>
  <c r="O19" i="12" s="1"/>
  <c r="P181" i="11"/>
  <c r="N379" i="12"/>
  <c r="N377" i="12" s="1"/>
  <c r="L380" i="12"/>
  <c r="O380" i="12" s="1"/>
  <c r="K365" i="12"/>
  <c r="J343" i="12"/>
  <c r="M322" i="12"/>
  <c r="P322" i="12" s="1"/>
  <c r="L254" i="12"/>
  <c r="O254" i="12" s="1"/>
  <c r="N232" i="12"/>
  <c r="P189" i="12"/>
  <c r="K183" i="12"/>
  <c r="P162" i="12"/>
  <c r="N159" i="12"/>
  <c r="N157" i="12" s="1"/>
  <c r="P147" i="12"/>
  <c r="P133" i="12"/>
  <c r="N96" i="12"/>
  <c r="N94" i="12" s="1"/>
  <c r="L97" i="12"/>
  <c r="O97" i="12" s="1"/>
  <c r="I93" i="12"/>
  <c r="K93" i="12" s="1"/>
  <c r="K85" i="12"/>
  <c r="N61" i="12"/>
  <c r="N59" i="12" s="1"/>
  <c r="L62" i="12"/>
  <c r="O62" i="12" s="1"/>
  <c r="P49" i="12"/>
  <c r="M19" i="12"/>
  <c r="K242" i="12"/>
  <c r="I231" i="12"/>
  <c r="K231" i="12" s="1"/>
  <c r="P126" i="12"/>
  <c r="P67" i="12"/>
  <c r="M65" i="12"/>
  <c r="P65" i="12" s="1"/>
  <c r="O60" i="12"/>
  <c r="N380" i="12"/>
  <c r="M379" i="12"/>
  <c r="P379" i="12" s="1"/>
  <c r="N358" i="12"/>
  <c r="N356" i="12" s="1"/>
  <c r="N335" i="12"/>
  <c r="N333" i="12" s="1"/>
  <c r="N309" i="12"/>
  <c r="N285" i="12"/>
  <c r="P285" i="12" s="1"/>
  <c r="N272" i="12"/>
  <c r="M188" i="12"/>
  <c r="N176" i="12"/>
  <c r="L163" i="12"/>
  <c r="O163" i="12" s="1"/>
  <c r="O165" i="12"/>
  <c r="O144" i="12"/>
  <c r="L142" i="12"/>
  <c r="O142" i="12" s="1"/>
  <c r="L179" i="12"/>
  <c r="O179" i="12" s="1"/>
  <c r="O181" i="12"/>
  <c r="L175" i="12"/>
  <c r="P19" i="12"/>
  <c r="K346" i="11"/>
  <c r="L235" i="11"/>
  <c r="M383" i="12"/>
  <c r="P383" i="12" s="1"/>
  <c r="M380" i="12"/>
  <c r="P380" i="12" s="1"/>
  <c r="L379" i="12"/>
  <c r="M358" i="12"/>
  <c r="M335" i="12"/>
  <c r="N322" i="12"/>
  <c r="N320" i="12" s="1"/>
  <c r="P290" i="12"/>
  <c r="K260" i="12"/>
  <c r="I238" i="12"/>
  <c r="K238" i="12" s="1"/>
  <c r="I195" i="12"/>
  <c r="K195" i="12" s="1"/>
  <c r="M176" i="12"/>
  <c r="P158" i="12"/>
  <c r="L141" i="12"/>
  <c r="P64" i="12"/>
  <c r="M62" i="12"/>
  <c r="P62" i="12" s="1"/>
  <c r="M61" i="12"/>
  <c r="N26" i="12"/>
  <c r="N24" i="12" s="1"/>
  <c r="M163" i="12"/>
  <c r="P163" i="12" s="1"/>
  <c r="P378" i="12"/>
  <c r="L358" i="12"/>
  <c r="L335" i="12"/>
  <c r="J332" i="12"/>
  <c r="K332" i="12" s="1"/>
  <c r="I319" i="12"/>
  <c r="K319" i="12" s="1"/>
  <c r="P308" i="12"/>
  <c r="O287" i="12"/>
  <c r="L285" i="12"/>
  <c r="O283" i="12"/>
  <c r="P271" i="12"/>
  <c r="P194" i="12"/>
  <c r="O187" i="12"/>
  <c r="L176" i="12"/>
  <c r="O178" i="12"/>
  <c r="P174" i="12"/>
  <c r="M159" i="12"/>
  <c r="P159" i="12" s="1"/>
  <c r="N127" i="12"/>
  <c r="N125" i="12" s="1"/>
  <c r="M26" i="12"/>
  <c r="P26" i="12" s="1"/>
  <c r="L26" i="12"/>
  <c r="O338" i="10"/>
  <c r="L96" i="11"/>
  <c r="L94" i="11" s="1"/>
  <c r="O94" i="11" s="1"/>
  <c r="P80" i="11"/>
  <c r="P77" i="11"/>
  <c r="P311" i="12"/>
  <c r="P274" i="12"/>
  <c r="L233" i="12"/>
  <c r="L160" i="12"/>
  <c r="O160" i="12" s="1"/>
  <c r="O162" i="12"/>
  <c r="P47" i="12"/>
  <c r="P321" i="12"/>
  <c r="M305" i="12"/>
  <c r="I302" i="12"/>
  <c r="K302" i="12" s="1"/>
  <c r="K293" i="12"/>
  <c r="L288" i="12"/>
  <c r="O288" i="12" s="1"/>
  <c r="M268" i="12"/>
  <c r="K249" i="12"/>
  <c r="L159" i="12"/>
  <c r="O147" i="12"/>
  <c r="L145" i="12"/>
  <c r="O145" i="12" s="1"/>
  <c r="P142" i="12"/>
  <c r="P140" i="12"/>
  <c r="K108" i="12"/>
  <c r="I92" i="12"/>
  <c r="K92" i="12" s="1"/>
  <c r="O47" i="12"/>
  <c r="N19" i="12"/>
  <c r="P102" i="12"/>
  <c r="P99" i="12"/>
  <c r="O95" i="12"/>
  <c r="O80" i="12"/>
  <c r="O77" i="12"/>
  <c r="O52" i="12"/>
  <c r="O49" i="12"/>
  <c r="P25" i="12"/>
  <c r="N23" i="12"/>
  <c r="L127" i="12"/>
  <c r="N74" i="12"/>
  <c r="N72" i="12" s="1"/>
  <c r="N46" i="12"/>
  <c r="N44" i="12" s="1"/>
  <c r="M23" i="12"/>
  <c r="L131" i="12"/>
  <c r="O131" i="12" s="1"/>
  <c r="L128" i="12"/>
  <c r="O128" i="12" s="1"/>
  <c r="N50" i="12"/>
  <c r="M46" i="12"/>
  <c r="L23" i="12"/>
  <c r="L21" i="12" s="1"/>
  <c r="M96" i="12"/>
  <c r="L74" i="12"/>
  <c r="L46" i="12"/>
  <c r="O22" i="12"/>
  <c r="P287" i="11"/>
  <c r="M272" i="11"/>
  <c r="P272" i="11" s="1"/>
  <c r="O52" i="11"/>
  <c r="O287" i="11"/>
  <c r="M188" i="11"/>
  <c r="M186" i="11" s="1"/>
  <c r="O385" i="11"/>
  <c r="L359" i="11"/>
  <c r="L203" i="11"/>
  <c r="O203" i="11" s="1"/>
  <c r="N159" i="11"/>
  <c r="N157" i="11" s="1"/>
  <c r="P99" i="11"/>
  <c r="L97" i="11"/>
  <c r="O97" i="11" s="1"/>
  <c r="I93" i="11"/>
  <c r="K93" i="11" s="1"/>
  <c r="L380" i="11"/>
  <c r="O380" i="11" s="1"/>
  <c r="K365" i="11"/>
  <c r="P341" i="11"/>
  <c r="O181" i="11"/>
  <c r="I169" i="11"/>
  <c r="K169" i="11" s="1"/>
  <c r="L145" i="11"/>
  <c r="O145" i="11" s="1"/>
  <c r="O341" i="11"/>
  <c r="K292" i="11"/>
  <c r="P178" i="11"/>
  <c r="I168" i="11"/>
  <c r="K168" i="11" s="1"/>
  <c r="O133" i="11"/>
  <c r="K229" i="11"/>
  <c r="K167" i="11"/>
  <c r="K152" i="11"/>
  <c r="K371" i="11"/>
  <c r="P162" i="11"/>
  <c r="N174" i="1"/>
  <c r="N46" i="11"/>
  <c r="N44" i="11" s="1"/>
  <c r="L222" i="11"/>
  <c r="O222" i="11" s="1"/>
  <c r="O162" i="11"/>
  <c r="N160" i="11"/>
  <c r="O160" i="11" s="1"/>
  <c r="K154" i="11"/>
  <c r="L127" i="11"/>
  <c r="O127" i="11" s="1"/>
  <c r="O80" i="11"/>
  <c r="O47" i="11"/>
  <c r="M362" i="11"/>
  <c r="P362" i="11" s="1"/>
  <c r="L362" i="11"/>
  <c r="O362" i="11" s="1"/>
  <c r="N305" i="11"/>
  <c r="N303" i="11" s="1"/>
  <c r="P306" i="11"/>
  <c r="L235" i="10"/>
  <c r="L322" i="11"/>
  <c r="L320" i="11" s="1"/>
  <c r="O320" i="11" s="1"/>
  <c r="P308" i="11"/>
  <c r="N284" i="11"/>
  <c r="N282" i="11" s="1"/>
  <c r="L236" i="11"/>
  <c r="O178" i="11"/>
  <c r="K156" i="11"/>
  <c r="L128" i="11"/>
  <c r="O128" i="11" s="1"/>
  <c r="I82" i="11"/>
  <c r="I70" i="11" s="1"/>
  <c r="K70" i="11" s="1"/>
  <c r="O77" i="11"/>
  <c r="N61" i="11"/>
  <c r="N59" i="11" s="1"/>
  <c r="P49" i="11"/>
  <c r="M175" i="10"/>
  <c r="M173" i="10" s="1"/>
  <c r="K368" i="11"/>
  <c r="P361" i="11"/>
  <c r="P290" i="11"/>
  <c r="P285" i="11"/>
  <c r="L234" i="11"/>
  <c r="N175" i="11"/>
  <c r="N173" i="11" s="1"/>
  <c r="P165" i="11"/>
  <c r="K138" i="11"/>
  <c r="N74" i="11"/>
  <c r="N72" i="11" s="1"/>
  <c r="O49" i="11"/>
  <c r="M19" i="11"/>
  <c r="M358" i="11"/>
  <c r="M356" i="11" s="1"/>
  <c r="P328" i="11"/>
  <c r="L326" i="11"/>
  <c r="O326" i="11" s="1"/>
  <c r="K293" i="11"/>
  <c r="O290" i="11"/>
  <c r="O285" i="11"/>
  <c r="L214" i="11"/>
  <c r="O214" i="11" s="1"/>
  <c r="N188" i="11"/>
  <c r="N186" i="11" s="1"/>
  <c r="P176" i="11"/>
  <c r="O165" i="11"/>
  <c r="O142" i="11"/>
  <c r="L19" i="11"/>
  <c r="I83" i="11"/>
  <c r="I71" i="11" s="1"/>
  <c r="K71" i="11" s="1"/>
  <c r="L379" i="11"/>
  <c r="L377" i="11" s="1"/>
  <c r="O377" i="11" s="1"/>
  <c r="L358" i="11"/>
  <c r="M335" i="11"/>
  <c r="M333" i="11" s="1"/>
  <c r="P325" i="11"/>
  <c r="K314" i="11"/>
  <c r="N268" i="11"/>
  <c r="N266" i="11" s="1"/>
  <c r="L254" i="11"/>
  <c r="O254" i="11" s="1"/>
  <c r="K221" i="11"/>
  <c r="K198" i="11"/>
  <c r="O176" i="11"/>
  <c r="P102" i="11"/>
  <c r="P47" i="11"/>
  <c r="N379" i="11"/>
  <c r="N377" i="11" s="1"/>
  <c r="P140" i="11"/>
  <c r="P67" i="11"/>
  <c r="M65" i="11"/>
  <c r="P65" i="11" s="1"/>
  <c r="P64" i="11"/>
  <c r="M62" i="11"/>
  <c r="P62" i="11" s="1"/>
  <c r="N26" i="11"/>
  <c r="N24" i="11" s="1"/>
  <c r="P361" i="10"/>
  <c r="P338" i="10"/>
  <c r="P287" i="10"/>
  <c r="M379" i="11"/>
  <c r="P379" i="11" s="1"/>
  <c r="N358" i="11"/>
  <c r="N356" i="11" s="1"/>
  <c r="J351" i="11"/>
  <c r="N335" i="11"/>
  <c r="N333" i="11" s="1"/>
  <c r="O311" i="11"/>
  <c r="L309" i="11"/>
  <c r="O309" i="11" s="1"/>
  <c r="M305" i="11"/>
  <c r="M268" i="11"/>
  <c r="P268" i="11" s="1"/>
  <c r="L243" i="11"/>
  <c r="P194" i="11"/>
  <c r="M192" i="11"/>
  <c r="P192" i="11" s="1"/>
  <c r="P191" i="11"/>
  <c r="M189" i="11"/>
  <c r="P189" i="11" s="1"/>
  <c r="P126" i="11"/>
  <c r="M26" i="11"/>
  <c r="O19" i="11"/>
  <c r="O304" i="11"/>
  <c r="O287" i="10"/>
  <c r="M383" i="11"/>
  <c r="P383" i="11" s="1"/>
  <c r="M380" i="11"/>
  <c r="P380" i="11" s="1"/>
  <c r="N359" i="11"/>
  <c r="K344" i="11"/>
  <c r="L335" i="11"/>
  <c r="O308" i="11"/>
  <c r="L306" i="11"/>
  <c r="O306" i="11" s="1"/>
  <c r="L305" i="11"/>
  <c r="O274" i="11"/>
  <c r="L272" i="11"/>
  <c r="O272" i="11" s="1"/>
  <c r="P271" i="11"/>
  <c r="M269" i="11"/>
  <c r="P269" i="11" s="1"/>
  <c r="I202" i="11"/>
  <c r="K202" i="11" s="1"/>
  <c r="K209" i="11"/>
  <c r="K108" i="11"/>
  <c r="I92" i="11"/>
  <c r="K92" i="11" s="1"/>
  <c r="P19" i="11"/>
  <c r="N322" i="10"/>
  <c r="N320" i="10" s="1"/>
  <c r="P378" i="11"/>
  <c r="O338" i="11"/>
  <c r="I319" i="11"/>
  <c r="K319" i="11" s="1"/>
  <c r="I238" i="11"/>
  <c r="K238" i="11" s="1"/>
  <c r="I213" i="11"/>
  <c r="K213" i="11" s="1"/>
  <c r="O187" i="11"/>
  <c r="O60" i="11"/>
  <c r="L26" i="11"/>
  <c r="O308" i="10"/>
  <c r="P338" i="11"/>
  <c r="N336" i="11"/>
  <c r="P336" i="11" s="1"/>
  <c r="O267" i="11"/>
  <c r="I253" i="11"/>
  <c r="K253" i="11" s="1"/>
  <c r="K260" i="11"/>
  <c r="P144" i="11"/>
  <c r="N141" i="11"/>
  <c r="K344" i="10"/>
  <c r="J343" i="11"/>
  <c r="J332" i="11"/>
  <c r="K332" i="11" s="1"/>
  <c r="M309" i="11"/>
  <c r="P309" i="11" s="1"/>
  <c r="O144" i="11"/>
  <c r="N139" i="11"/>
  <c r="N127" i="11"/>
  <c r="N125" i="11" s="1"/>
  <c r="M61" i="11"/>
  <c r="N19" i="11"/>
  <c r="L268" i="11"/>
  <c r="O268" i="11" s="1"/>
  <c r="L233" i="11"/>
  <c r="L188" i="11"/>
  <c r="M141" i="11"/>
  <c r="M127" i="11"/>
  <c r="P127" i="11" s="1"/>
  <c r="L61" i="11"/>
  <c r="N23" i="11"/>
  <c r="N21" i="11" s="1"/>
  <c r="O325" i="11"/>
  <c r="L269" i="11"/>
  <c r="O269" i="11" s="1"/>
  <c r="P267" i="11"/>
  <c r="K249" i="11"/>
  <c r="I242" i="11"/>
  <c r="L192" i="11"/>
  <c r="O192" i="11" s="1"/>
  <c r="L189" i="11"/>
  <c r="O189" i="11" s="1"/>
  <c r="K153" i="11"/>
  <c r="M145" i="11"/>
  <c r="P145" i="11" s="1"/>
  <c r="M142" i="11"/>
  <c r="P142" i="11" s="1"/>
  <c r="L141" i="11"/>
  <c r="M131" i="11"/>
  <c r="P131" i="11" s="1"/>
  <c r="M128" i="11"/>
  <c r="P128" i="11" s="1"/>
  <c r="O99" i="11"/>
  <c r="K85" i="11"/>
  <c r="L65" i="11"/>
  <c r="O65" i="11" s="1"/>
  <c r="L62" i="11"/>
  <c r="O62" i="11" s="1"/>
  <c r="M23" i="11"/>
  <c r="N322" i="11"/>
  <c r="N320" i="11" s="1"/>
  <c r="M284" i="11"/>
  <c r="M175" i="11"/>
  <c r="M159" i="11"/>
  <c r="N96" i="11"/>
  <c r="N94" i="11" s="1"/>
  <c r="M74" i="11"/>
  <c r="M46" i="11"/>
  <c r="L23" i="11"/>
  <c r="M322" i="11"/>
  <c r="P322" i="11" s="1"/>
  <c r="L284" i="11"/>
  <c r="L175" i="11"/>
  <c r="L159" i="11"/>
  <c r="M96" i="11"/>
  <c r="P96" i="11" s="1"/>
  <c r="L74" i="11"/>
  <c r="O74" i="11" s="1"/>
  <c r="M50" i="11"/>
  <c r="P50" i="11" s="1"/>
  <c r="L46" i="11"/>
  <c r="P22" i="11"/>
  <c r="O22" i="11"/>
  <c r="O274" i="10"/>
  <c r="P133" i="10"/>
  <c r="O130" i="10"/>
  <c r="I82" i="10"/>
  <c r="I70" i="10" s="1"/>
  <c r="K70" i="10" s="1"/>
  <c r="O67" i="10"/>
  <c r="N268" i="10"/>
  <c r="N266" i="10" s="1"/>
  <c r="P147" i="10"/>
  <c r="K371" i="10"/>
  <c r="K195" i="10"/>
  <c r="L96" i="10"/>
  <c r="O96" i="10" s="1"/>
  <c r="M74" i="10"/>
  <c r="P74" i="10" s="1"/>
  <c r="L234" i="9"/>
  <c r="N379" i="10"/>
  <c r="N377" i="10" s="1"/>
  <c r="O271" i="10"/>
  <c r="I202" i="10"/>
  <c r="K202" i="10" s="1"/>
  <c r="K169" i="10"/>
  <c r="N96" i="10"/>
  <c r="N94" i="10" s="1"/>
  <c r="M61" i="10"/>
  <c r="M59" i="10" s="1"/>
  <c r="N46" i="10"/>
  <c r="N44" i="10" s="1"/>
  <c r="J351" i="9"/>
  <c r="K369" i="10"/>
  <c r="M176" i="10"/>
  <c r="M96" i="10"/>
  <c r="P96" i="10" s="1"/>
  <c r="N74" i="10"/>
  <c r="N72" i="10" s="1"/>
  <c r="L61" i="10"/>
  <c r="L59" i="10" s="1"/>
  <c r="L254" i="10"/>
  <c r="O254" i="10" s="1"/>
  <c r="L203" i="10"/>
  <c r="O203" i="10" s="1"/>
  <c r="N175" i="10"/>
  <c r="N173" i="10" s="1"/>
  <c r="O144" i="10"/>
  <c r="L236" i="10"/>
  <c r="P162" i="10"/>
  <c r="N141" i="10"/>
  <c r="N139" i="10" s="1"/>
  <c r="I137" i="10"/>
  <c r="K137" i="10" s="1"/>
  <c r="K368" i="10"/>
  <c r="J351" i="10"/>
  <c r="K346" i="10"/>
  <c r="L288" i="10"/>
  <c r="O288" i="10" s="1"/>
  <c r="L383" i="10"/>
  <c r="O383" i="10" s="1"/>
  <c r="N284" i="10"/>
  <c r="N282" i="10" s="1"/>
  <c r="L285" i="10"/>
  <c r="O285" i="10" s="1"/>
  <c r="M268" i="10"/>
  <c r="P268" i="10" s="1"/>
  <c r="O194" i="10"/>
  <c r="N159" i="10"/>
  <c r="N157" i="10" s="1"/>
  <c r="O147" i="10"/>
  <c r="L141" i="10"/>
  <c r="O141" i="10" s="1"/>
  <c r="I138" i="10"/>
  <c r="K138" i="10" s="1"/>
  <c r="O133" i="10"/>
  <c r="L127" i="10"/>
  <c r="O127" i="10" s="1"/>
  <c r="P80" i="10"/>
  <c r="P52" i="10"/>
  <c r="P165" i="9"/>
  <c r="L380" i="10"/>
  <c r="O380" i="10" s="1"/>
  <c r="K365" i="10"/>
  <c r="O364" i="10"/>
  <c r="J343" i="10"/>
  <c r="O341" i="10"/>
  <c r="M284" i="10"/>
  <c r="M282" i="10" s="1"/>
  <c r="P282" i="10" s="1"/>
  <c r="L284" i="10"/>
  <c r="L282" i="10" s="1"/>
  <c r="I253" i="10"/>
  <c r="K253" i="10" s="1"/>
  <c r="L243" i="10"/>
  <c r="L222" i="10"/>
  <c r="O222" i="10" s="1"/>
  <c r="K183" i="10"/>
  <c r="L175" i="10"/>
  <c r="L100" i="10"/>
  <c r="O100" i="10" s="1"/>
  <c r="N97" i="10"/>
  <c r="I83" i="10"/>
  <c r="I71" i="10" s="1"/>
  <c r="K71" i="10" s="1"/>
  <c r="O64" i="10"/>
  <c r="M362" i="10"/>
  <c r="P362" i="10" s="1"/>
  <c r="M339" i="10"/>
  <c r="P339" i="10" s="1"/>
  <c r="O311" i="10"/>
  <c r="P274" i="10"/>
  <c r="O191" i="10"/>
  <c r="K172" i="10"/>
  <c r="P144" i="10"/>
  <c r="P130" i="10"/>
  <c r="L97" i="10"/>
  <c r="O97" i="10" s="1"/>
  <c r="I93" i="10"/>
  <c r="K93" i="10" s="1"/>
  <c r="K84" i="10"/>
  <c r="P77" i="10"/>
  <c r="N75" i="10"/>
  <c r="N61" i="10"/>
  <c r="N59" i="10" s="1"/>
  <c r="L62" i="10"/>
  <c r="O62" i="10" s="1"/>
  <c r="P49" i="10"/>
  <c r="N47" i="10"/>
  <c r="P47" i="10" s="1"/>
  <c r="O361" i="10"/>
  <c r="M359" i="10"/>
  <c r="P359" i="10" s="1"/>
  <c r="M336" i="10"/>
  <c r="J332" i="10"/>
  <c r="K332" i="10" s="1"/>
  <c r="N305" i="10"/>
  <c r="N303" i="10" s="1"/>
  <c r="P181" i="10"/>
  <c r="K154" i="10"/>
  <c r="M75" i="10"/>
  <c r="P75" i="10" s="1"/>
  <c r="O189" i="10"/>
  <c r="N305" i="9"/>
  <c r="N303" i="9" s="1"/>
  <c r="M188" i="9"/>
  <c r="M186" i="9" s="1"/>
  <c r="M141" i="9"/>
  <c r="P141" i="9" s="1"/>
  <c r="M335" i="10"/>
  <c r="M333" i="10" s="1"/>
  <c r="N232" i="10"/>
  <c r="L214" i="10"/>
  <c r="O214" i="10" s="1"/>
  <c r="P189" i="10"/>
  <c r="P178" i="10"/>
  <c r="N176" i="10"/>
  <c r="O359" i="10"/>
  <c r="O19" i="10"/>
  <c r="N380" i="10"/>
  <c r="M379" i="10"/>
  <c r="P379" i="10" s="1"/>
  <c r="N358" i="10"/>
  <c r="N356" i="10" s="1"/>
  <c r="N335" i="10"/>
  <c r="N333" i="10" s="1"/>
  <c r="N323" i="10"/>
  <c r="I280" i="10"/>
  <c r="K280" i="10" s="1"/>
  <c r="K293" i="10"/>
  <c r="L233" i="10"/>
  <c r="L163" i="10"/>
  <c r="O163" i="10" s="1"/>
  <c r="O165" i="10"/>
  <c r="L322" i="10"/>
  <c r="P285" i="8"/>
  <c r="O382" i="9"/>
  <c r="M339" i="9"/>
  <c r="P339" i="9" s="1"/>
  <c r="P80" i="9"/>
  <c r="M383" i="10"/>
  <c r="P383" i="10" s="1"/>
  <c r="M380" i="10"/>
  <c r="P380" i="10" s="1"/>
  <c r="L379" i="10"/>
  <c r="M358" i="10"/>
  <c r="N336" i="10"/>
  <c r="L335" i="10"/>
  <c r="K330" i="10"/>
  <c r="M323" i="10"/>
  <c r="P323" i="10" s="1"/>
  <c r="N309" i="10"/>
  <c r="K292" i="10"/>
  <c r="M285" i="10"/>
  <c r="P285" i="10" s="1"/>
  <c r="N269" i="10"/>
  <c r="M188" i="10"/>
  <c r="P126" i="10"/>
  <c r="P378" i="10"/>
  <c r="L358" i="10"/>
  <c r="L323" i="10"/>
  <c r="O323" i="10" s="1"/>
  <c r="P308" i="10"/>
  <c r="I242" i="10"/>
  <c r="K249" i="10"/>
  <c r="L234" i="10"/>
  <c r="P191" i="10"/>
  <c r="O174" i="10"/>
  <c r="L160" i="10"/>
  <c r="O160" i="10" s="1"/>
  <c r="O162" i="10"/>
  <c r="M159" i="10"/>
  <c r="P159" i="10" s="1"/>
  <c r="K108" i="10"/>
  <c r="I92" i="10"/>
  <c r="K92" i="10" s="1"/>
  <c r="P67" i="10"/>
  <c r="M65" i="10"/>
  <c r="P65" i="10" s="1"/>
  <c r="O60" i="10"/>
  <c r="L26" i="10"/>
  <c r="P64" i="10"/>
  <c r="M62" i="10"/>
  <c r="P62" i="10" s="1"/>
  <c r="K369" i="9"/>
  <c r="P338" i="9"/>
  <c r="O334" i="10"/>
  <c r="M305" i="10"/>
  <c r="P305" i="10" s="1"/>
  <c r="P290" i="10"/>
  <c r="I238" i="10"/>
  <c r="K238" i="10" s="1"/>
  <c r="I221" i="10"/>
  <c r="K221" i="10" s="1"/>
  <c r="L179" i="10"/>
  <c r="O179" i="10" s="1"/>
  <c r="O181" i="10"/>
  <c r="P165" i="10"/>
  <c r="L159" i="10"/>
  <c r="O159" i="10" s="1"/>
  <c r="N26" i="10"/>
  <c r="N24" i="10" s="1"/>
  <c r="L326" i="10"/>
  <c r="O326" i="10" s="1"/>
  <c r="L176" i="10"/>
  <c r="O178" i="10"/>
  <c r="M97" i="10"/>
  <c r="P97" i="10" s="1"/>
  <c r="P99" i="10"/>
  <c r="M26" i="10"/>
  <c r="P26" i="10" s="1"/>
  <c r="O336" i="9"/>
  <c r="M326" i="10"/>
  <c r="P326" i="10" s="1"/>
  <c r="M322" i="10"/>
  <c r="P322" i="10" s="1"/>
  <c r="P311" i="10"/>
  <c r="O304" i="10"/>
  <c r="P271" i="10"/>
  <c r="K220" i="10"/>
  <c r="P194" i="10"/>
  <c r="N188" i="10"/>
  <c r="N186" i="10" s="1"/>
  <c r="N127" i="10"/>
  <c r="N125" i="10" s="1"/>
  <c r="M100" i="10"/>
  <c r="P100" i="10" s="1"/>
  <c r="P102" i="10"/>
  <c r="P19" i="10"/>
  <c r="N19" i="10"/>
  <c r="K314" i="10"/>
  <c r="L305" i="10"/>
  <c r="O305" i="10" s="1"/>
  <c r="L268" i="10"/>
  <c r="K198" i="10"/>
  <c r="L188" i="10"/>
  <c r="L186" i="10" s="1"/>
  <c r="M141" i="10"/>
  <c r="P141" i="10" s="1"/>
  <c r="M127" i="10"/>
  <c r="P127" i="10" s="1"/>
  <c r="O95" i="10"/>
  <c r="O80" i="10"/>
  <c r="O77" i="10"/>
  <c r="O52" i="10"/>
  <c r="O49" i="10"/>
  <c r="P25" i="10"/>
  <c r="N23" i="10"/>
  <c r="O99" i="10"/>
  <c r="K85" i="10"/>
  <c r="O25" i="10"/>
  <c r="M23" i="10"/>
  <c r="M46" i="10"/>
  <c r="L23" i="10"/>
  <c r="L74" i="10"/>
  <c r="O74" i="10" s="1"/>
  <c r="L46" i="10"/>
  <c r="O338" i="9"/>
  <c r="M336" i="9"/>
  <c r="P336" i="9" s="1"/>
  <c r="P311" i="9"/>
  <c r="O274" i="9"/>
  <c r="O191" i="9"/>
  <c r="K152" i="9"/>
  <c r="O52" i="9"/>
  <c r="O359" i="9"/>
  <c r="L141" i="9"/>
  <c r="O141" i="9" s="1"/>
  <c r="L128" i="9"/>
  <c r="O128" i="9" s="1"/>
  <c r="P385" i="9"/>
  <c r="L233" i="9"/>
  <c r="K314" i="9"/>
  <c r="O147" i="9"/>
  <c r="M127" i="9"/>
  <c r="P127" i="9" s="1"/>
  <c r="O77" i="9"/>
  <c r="O364" i="9"/>
  <c r="P361" i="9"/>
  <c r="K346" i="9"/>
  <c r="O311" i="9"/>
  <c r="K293" i="9"/>
  <c r="L214" i="9"/>
  <c r="O214" i="9" s="1"/>
  <c r="K154" i="9"/>
  <c r="K344" i="9"/>
  <c r="I138" i="9"/>
  <c r="K138" i="9" s="1"/>
  <c r="P49" i="9"/>
  <c r="K368" i="9"/>
  <c r="M305" i="9"/>
  <c r="P305" i="9" s="1"/>
  <c r="P191" i="9"/>
  <c r="O178" i="9"/>
  <c r="K169" i="9"/>
  <c r="O165" i="9"/>
  <c r="O144" i="9"/>
  <c r="L142" i="9"/>
  <c r="O142" i="9" s="1"/>
  <c r="K109" i="9"/>
  <c r="N159" i="9"/>
  <c r="N157" i="9" s="1"/>
  <c r="N74" i="9"/>
  <c r="N72" i="9" s="1"/>
  <c r="N61" i="9"/>
  <c r="N59" i="9" s="1"/>
  <c r="N379" i="9"/>
  <c r="N377" i="9" s="1"/>
  <c r="N322" i="9"/>
  <c r="N320" i="9" s="1"/>
  <c r="L235" i="9"/>
  <c r="O133" i="9"/>
  <c r="L61" i="9"/>
  <c r="L59" i="9" s="1"/>
  <c r="K209" i="8"/>
  <c r="O385" i="9"/>
  <c r="L379" i="9"/>
  <c r="L377" i="9" s="1"/>
  <c r="O377" i="9" s="1"/>
  <c r="O361" i="9"/>
  <c r="L335" i="9"/>
  <c r="L333" i="9" s="1"/>
  <c r="O308" i="9"/>
  <c r="K280" i="9"/>
  <c r="L236" i="9"/>
  <c r="N188" i="9"/>
  <c r="N186" i="9" s="1"/>
  <c r="L188" i="9"/>
  <c r="L186" i="9" s="1"/>
  <c r="K183" i="9"/>
  <c r="O162" i="9"/>
  <c r="N160" i="9"/>
  <c r="P102" i="9"/>
  <c r="L100" i="9"/>
  <c r="O100" i="9" s="1"/>
  <c r="O80" i="9"/>
  <c r="P64" i="9"/>
  <c r="O49" i="9"/>
  <c r="N268" i="9"/>
  <c r="N266" i="9" s="1"/>
  <c r="P359" i="9"/>
  <c r="M335" i="9"/>
  <c r="K292" i="9"/>
  <c r="L222" i="9"/>
  <c r="O222" i="9" s="1"/>
  <c r="P189" i="9"/>
  <c r="K172" i="9"/>
  <c r="P99" i="9"/>
  <c r="N46" i="9"/>
  <c r="N44" i="9" s="1"/>
  <c r="N47" i="9"/>
  <c r="P47" i="9" s="1"/>
  <c r="P382" i="9"/>
  <c r="P364" i="9"/>
  <c r="O341" i="9"/>
  <c r="K330" i="9"/>
  <c r="L305" i="9"/>
  <c r="O305" i="9" s="1"/>
  <c r="K281" i="9"/>
  <c r="O189" i="9"/>
  <c r="P178" i="9"/>
  <c r="I82" i="9"/>
  <c r="I70" i="9" s="1"/>
  <c r="K70" i="9" s="1"/>
  <c r="P77" i="9"/>
  <c r="K365" i="9"/>
  <c r="P325" i="9"/>
  <c r="M322" i="9"/>
  <c r="P322" i="9" s="1"/>
  <c r="N284" i="9"/>
  <c r="N282" i="9" s="1"/>
  <c r="J280" i="9"/>
  <c r="K195" i="9"/>
  <c r="P176" i="9"/>
  <c r="N127" i="9"/>
  <c r="N125" i="9" s="1"/>
  <c r="O287" i="8"/>
  <c r="J332" i="9"/>
  <c r="K332" i="9" s="1"/>
  <c r="P285" i="9"/>
  <c r="N269" i="9"/>
  <c r="K229" i="9"/>
  <c r="K198" i="9"/>
  <c r="N175" i="9"/>
  <c r="N173" i="9" s="1"/>
  <c r="M175" i="9"/>
  <c r="M173" i="9" s="1"/>
  <c r="L127" i="9"/>
  <c r="O127" i="9" s="1"/>
  <c r="L96" i="9"/>
  <c r="O96" i="9" s="1"/>
  <c r="M65" i="9"/>
  <c r="P65" i="9" s="1"/>
  <c r="N62" i="9"/>
  <c r="P62" i="9" s="1"/>
  <c r="N26" i="9"/>
  <c r="N24" i="9" s="1"/>
  <c r="N23" i="9"/>
  <c r="N21" i="9" s="1"/>
  <c r="K369" i="8"/>
  <c r="L339" i="8"/>
  <c r="O339" i="8" s="1"/>
  <c r="N380" i="9"/>
  <c r="M379" i="9"/>
  <c r="P379" i="9" s="1"/>
  <c r="K371" i="9"/>
  <c r="N358" i="9"/>
  <c r="N356" i="9" s="1"/>
  <c r="L322" i="9"/>
  <c r="O322" i="9" s="1"/>
  <c r="N309" i="9"/>
  <c r="M306" i="9"/>
  <c r="P306" i="9" s="1"/>
  <c r="O304" i="9"/>
  <c r="P287" i="9"/>
  <c r="M284" i="9"/>
  <c r="P271" i="9"/>
  <c r="M268" i="9"/>
  <c r="L254" i="9"/>
  <c r="O254" i="9" s="1"/>
  <c r="L243" i="9"/>
  <c r="I202" i="9"/>
  <c r="K202" i="9" s="1"/>
  <c r="K209" i="9"/>
  <c r="P194" i="9"/>
  <c r="P181" i="9"/>
  <c r="P144" i="9"/>
  <c r="M142" i="9"/>
  <c r="P142" i="9" s="1"/>
  <c r="M272" i="9"/>
  <c r="P272" i="9" s="1"/>
  <c r="O64" i="9"/>
  <c r="L62" i="9"/>
  <c r="M358" i="9"/>
  <c r="L358" i="9"/>
  <c r="P328" i="9"/>
  <c r="P290" i="9"/>
  <c r="O287" i="9"/>
  <c r="L284" i="9"/>
  <c r="O271" i="9"/>
  <c r="L268" i="9"/>
  <c r="O268" i="9" s="1"/>
  <c r="I213" i="9"/>
  <c r="K213" i="9" s="1"/>
  <c r="O194" i="9"/>
  <c r="O181" i="9"/>
  <c r="O176" i="9"/>
  <c r="M159" i="9"/>
  <c r="N141" i="9"/>
  <c r="N139" i="9" s="1"/>
  <c r="P133" i="9"/>
  <c r="M131" i="9"/>
  <c r="P131" i="9" s="1"/>
  <c r="M26" i="9"/>
  <c r="P26" i="9" s="1"/>
  <c r="O19" i="9"/>
  <c r="N19" i="9"/>
  <c r="J343" i="8"/>
  <c r="L175" i="8"/>
  <c r="L173" i="8" s="1"/>
  <c r="K153" i="8"/>
  <c r="O99" i="8"/>
  <c r="P378" i="9"/>
  <c r="P357" i="9"/>
  <c r="J343" i="9"/>
  <c r="N326" i="9"/>
  <c r="L323" i="9"/>
  <c r="O323" i="9" s="1"/>
  <c r="O321" i="9"/>
  <c r="P308" i="9"/>
  <c r="O290" i="9"/>
  <c r="I253" i="9"/>
  <c r="K253" i="9" s="1"/>
  <c r="K260" i="9"/>
  <c r="I238" i="9"/>
  <c r="K238" i="9" s="1"/>
  <c r="I242" i="9"/>
  <c r="K249" i="9"/>
  <c r="P162" i="9"/>
  <c r="P126" i="9"/>
  <c r="O60" i="9"/>
  <c r="M19" i="9"/>
  <c r="P22" i="9"/>
  <c r="N335" i="9"/>
  <c r="N232" i="9"/>
  <c r="M192" i="9"/>
  <c r="P192" i="9" s="1"/>
  <c r="P147" i="9"/>
  <c r="M145" i="9"/>
  <c r="P145" i="9" s="1"/>
  <c r="P140" i="9"/>
  <c r="K108" i="9"/>
  <c r="I92" i="9"/>
  <c r="K92" i="9" s="1"/>
  <c r="I83" i="9"/>
  <c r="L26" i="9"/>
  <c r="J231" i="9"/>
  <c r="J185" i="9" s="1"/>
  <c r="L326" i="9"/>
  <c r="O326" i="9" s="1"/>
  <c r="O285" i="9"/>
  <c r="L203" i="9"/>
  <c r="O203" i="9" s="1"/>
  <c r="P130" i="9"/>
  <c r="M128" i="9"/>
  <c r="P128" i="9" s="1"/>
  <c r="O67" i="9"/>
  <c r="L65" i="9"/>
  <c r="O65" i="9" s="1"/>
  <c r="M61" i="9"/>
  <c r="O99" i="9"/>
  <c r="K85" i="9"/>
  <c r="O25" i="9"/>
  <c r="M23" i="9"/>
  <c r="M21" i="9" s="1"/>
  <c r="N96" i="9"/>
  <c r="N94" i="9" s="1"/>
  <c r="M74" i="9"/>
  <c r="M46" i="9"/>
  <c r="L23" i="9"/>
  <c r="L175" i="9"/>
  <c r="L159" i="9"/>
  <c r="O159" i="9" s="1"/>
  <c r="N100" i="9"/>
  <c r="M96" i="9"/>
  <c r="P96" i="9" s="1"/>
  <c r="L74" i="9"/>
  <c r="O74" i="9" s="1"/>
  <c r="M50" i="9"/>
  <c r="P50" i="9" s="1"/>
  <c r="L46" i="9"/>
  <c r="K220" i="8"/>
  <c r="M175" i="8"/>
  <c r="M173" i="8" s="1"/>
  <c r="P133" i="8"/>
  <c r="N379" i="8"/>
  <c r="N377" i="8" s="1"/>
  <c r="K330" i="8"/>
  <c r="K293" i="8"/>
  <c r="K152" i="8"/>
  <c r="O290" i="8"/>
  <c r="P287" i="8"/>
  <c r="N61" i="8"/>
  <c r="N59" i="8" s="1"/>
  <c r="P382" i="8"/>
  <c r="N380" i="8"/>
  <c r="L358" i="8"/>
  <c r="L356" i="8" s="1"/>
  <c r="L234" i="8"/>
  <c r="P165" i="8"/>
  <c r="P162" i="8"/>
  <c r="O328" i="8"/>
  <c r="L268" i="8"/>
  <c r="L266" i="8" s="1"/>
  <c r="O266" i="8" s="1"/>
  <c r="P147" i="8"/>
  <c r="P77" i="8"/>
  <c r="L362" i="8"/>
  <c r="O362" i="8" s="1"/>
  <c r="M322" i="8"/>
  <c r="P322" i="8" s="1"/>
  <c r="L284" i="8"/>
  <c r="L282" i="8" s="1"/>
  <c r="L192" i="8"/>
  <c r="O192" i="8" s="1"/>
  <c r="I168" i="8"/>
  <c r="K168" i="8" s="1"/>
  <c r="M141" i="8"/>
  <c r="N46" i="8"/>
  <c r="N44" i="8" s="1"/>
  <c r="K346" i="8"/>
  <c r="K260" i="8"/>
  <c r="O191" i="8"/>
  <c r="M127" i="8"/>
  <c r="P127" i="8" s="1"/>
  <c r="O75" i="8"/>
  <c r="P385" i="8"/>
  <c r="K344" i="8"/>
  <c r="L335" i="8"/>
  <c r="L333" i="8" s="1"/>
  <c r="M272" i="8"/>
  <c r="P272" i="8" s="1"/>
  <c r="L269" i="8"/>
  <c r="O269" i="8" s="1"/>
  <c r="L235" i="8"/>
  <c r="K252" i="8"/>
  <c r="L236" i="8"/>
  <c r="K221" i="8"/>
  <c r="L203" i="8"/>
  <c r="O203" i="8" s="1"/>
  <c r="L188" i="8"/>
  <c r="L186" i="8" s="1"/>
  <c r="O140" i="8"/>
  <c r="P130" i="8"/>
  <c r="M128" i="8"/>
  <c r="P128" i="8" s="1"/>
  <c r="I93" i="8"/>
  <c r="K93" i="8" s="1"/>
  <c r="L141" i="8"/>
  <c r="L139" i="8" s="1"/>
  <c r="O311" i="7"/>
  <c r="J332" i="8"/>
  <c r="K332" i="8" s="1"/>
  <c r="O308" i="8"/>
  <c r="K281" i="8"/>
  <c r="M284" i="8"/>
  <c r="M268" i="8"/>
  <c r="P268" i="8" s="1"/>
  <c r="K241" i="8"/>
  <c r="L243" i="8"/>
  <c r="I242" i="8"/>
  <c r="K242" i="8" s="1"/>
  <c r="L214" i="8"/>
  <c r="O214" i="8" s="1"/>
  <c r="L96" i="8"/>
  <c r="O96" i="8" s="1"/>
  <c r="P80" i="8"/>
  <c r="L61" i="8"/>
  <c r="L59" i="8" s="1"/>
  <c r="P306" i="8"/>
  <c r="N305" i="8"/>
  <c r="N303" i="8" s="1"/>
  <c r="P290" i="8"/>
  <c r="K251" i="8"/>
  <c r="O102" i="8"/>
  <c r="O67" i="8"/>
  <c r="N358" i="8"/>
  <c r="N356" i="8" s="1"/>
  <c r="L359" i="8"/>
  <c r="O359" i="8" s="1"/>
  <c r="L322" i="8"/>
  <c r="O322" i="8" s="1"/>
  <c r="M282" i="8"/>
  <c r="L233" i="8"/>
  <c r="L145" i="8"/>
  <c r="O145" i="8" s="1"/>
  <c r="M142" i="8"/>
  <c r="P142" i="8" s="1"/>
  <c r="I82" i="8"/>
  <c r="K82" i="8" s="1"/>
  <c r="I83" i="8"/>
  <c r="I71" i="8" s="1"/>
  <c r="K71" i="8" s="1"/>
  <c r="K262" i="7"/>
  <c r="M379" i="8"/>
  <c r="M377" i="8" s="1"/>
  <c r="P377" i="8" s="1"/>
  <c r="K368" i="8"/>
  <c r="P359" i="8"/>
  <c r="J351" i="8"/>
  <c r="O306" i="8"/>
  <c r="P189" i="8"/>
  <c r="N175" i="8"/>
  <c r="N173" i="8" s="1"/>
  <c r="K154" i="8"/>
  <c r="O142" i="8"/>
  <c r="O64" i="8"/>
  <c r="N62" i="8"/>
  <c r="O62" i="8" s="1"/>
  <c r="M19" i="8"/>
  <c r="P336" i="8"/>
  <c r="K365" i="8"/>
  <c r="O336" i="8"/>
  <c r="O189" i="8"/>
  <c r="K253" i="8"/>
  <c r="N176" i="8"/>
  <c r="I172" i="8"/>
  <c r="K172" i="8" s="1"/>
  <c r="P158" i="8"/>
  <c r="N141" i="8"/>
  <c r="N139" i="8" s="1"/>
  <c r="M23" i="8"/>
  <c r="K369" i="6"/>
  <c r="O385" i="8"/>
  <c r="O382" i="8"/>
  <c r="P364" i="8"/>
  <c r="P361" i="8"/>
  <c r="O357" i="8"/>
  <c r="P341" i="8"/>
  <c r="P338" i="8"/>
  <c r="M326" i="8"/>
  <c r="P326" i="8" s="1"/>
  <c r="L323" i="8"/>
  <c r="O323" i="8" s="1"/>
  <c r="O311" i="8"/>
  <c r="M305" i="8"/>
  <c r="I302" i="8"/>
  <c r="K302" i="8" s="1"/>
  <c r="L285" i="8"/>
  <c r="O285" i="8" s="1"/>
  <c r="J280" i="8"/>
  <c r="K280" i="8" s="1"/>
  <c r="L272" i="8"/>
  <c r="O272" i="8" s="1"/>
  <c r="I238" i="8"/>
  <c r="K238" i="8" s="1"/>
  <c r="P181" i="8"/>
  <c r="M176" i="8"/>
  <c r="N159" i="8"/>
  <c r="N157" i="8" s="1"/>
  <c r="P19" i="8"/>
  <c r="L160" i="8"/>
  <c r="O160" i="8" s="1"/>
  <c r="O162" i="8"/>
  <c r="L358" i="7"/>
  <c r="L356" i="7" s="1"/>
  <c r="O102" i="7"/>
  <c r="O361" i="8"/>
  <c r="O338" i="8"/>
  <c r="P308" i="8"/>
  <c r="L305" i="8"/>
  <c r="K292" i="8"/>
  <c r="N268" i="8"/>
  <c r="N266" i="8" s="1"/>
  <c r="K229" i="8"/>
  <c r="L222" i="8"/>
  <c r="O222" i="8" s="1"/>
  <c r="I195" i="8"/>
  <c r="K195" i="8" s="1"/>
  <c r="P191" i="8"/>
  <c r="O178" i="8"/>
  <c r="L176" i="8"/>
  <c r="M159" i="8"/>
  <c r="P159" i="8" s="1"/>
  <c r="P144" i="8"/>
  <c r="P126" i="8"/>
  <c r="K108" i="8"/>
  <c r="I92" i="8"/>
  <c r="K92" i="8" s="1"/>
  <c r="P75" i="8"/>
  <c r="N74" i="8"/>
  <c r="N72" i="8" s="1"/>
  <c r="P67" i="8"/>
  <c r="M65" i="8"/>
  <c r="P65" i="8" s="1"/>
  <c r="O60" i="8"/>
  <c r="N19" i="8"/>
  <c r="M26" i="8"/>
  <c r="P26" i="8" s="1"/>
  <c r="N47" i="8"/>
  <c r="O47" i="8" s="1"/>
  <c r="N23" i="8"/>
  <c r="K371" i="8"/>
  <c r="N335" i="8"/>
  <c r="N333" i="8" s="1"/>
  <c r="P325" i="8"/>
  <c r="O274" i="8"/>
  <c r="L254" i="8"/>
  <c r="O254" i="8" s="1"/>
  <c r="P194" i="8"/>
  <c r="N188" i="8"/>
  <c r="L163" i="8"/>
  <c r="O163" i="8" s="1"/>
  <c r="O165" i="8"/>
  <c r="L159" i="8"/>
  <c r="O133" i="8"/>
  <c r="L131" i="8"/>
  <c r="O131" i="8" s="1"/>
  <c r="M323" i="8"/>
  <c r="P323" i="8" s="1"/>
  <c r="L379" i="8"/>
  <c r="O379" i="8" s="1"/>
  <c r="M358" i="8"/>
  <c r="M335" i="8"/>
  <c r="M309" i="8"/>
  <c r="P309" i="8" s="1"/>
  <c r="N284" i="8"/>
  <c r="N282" i="8" s="1"/>
  <c r="M188" i="8"/>
  <c r="L179" i="8"/>
  <c r="O179" i="8" s="1"/>
  <c r="N127" i="8"/>
  <c r="N125" i="8" s="1"/>
  <c r="P64" i="8"/>
  <c r="M62" i="8"/>
  <c r="M61" i="8"/>
  <c r="P45" i="8"/>
  <c r="L26" i="8"/>
  <c r="L19" i="8"/>
  <c r="O22" i="8"/>
  <c r="K346" i="7"/>
  <c r="N322" i="8"/>
  <c r="N320" i="8" s="1"/>
  <c r="N323" i="8"/>
  <c r="M269" i="8"/>
  <c r="P269" i="8" s="1"/>
  <c r="P267" i="8"/>
  <c r="P178" i="8"/>
  <c r="I156" i="8"/>
  <c r="K156" i="8" s="1"/>
  <c r="I169" i="8"/>
  <c r="K169" i="8" s="1"/>
  <c r="O144" i="8"/>
  <c r="M139" i="8"/>
  <c r="K136" i="8"/>
  <c r="O130" i="8"/>
  <c r="L128" i="8"/>
  <c r="O128" i="8" s="1"/>
  <c r="L127" i="8"/>
  <c r="P73" i="8"/>
  <c r="N26" i="8"/>
  <c r="N24" i="8" s="1"/>
  <c r="N50" i="8"/>
  <c r="P49" i="8"/>
  <c r="P102" i="8"/>
  <c r="P99" i="8"/>
  <c r="O95" i="8"/>
  <c r="O80" i="8"/>
  <c r="O77" i="8"/>
  <c r="O52" i="8"/>
  <c r="O49" i="8"/>
  <c r="P25" i="8"/>
  <c r="N96" i="8"/>
  <c r="N94" i="8" s="1"/>
  <c r="M74" i="8"/>
  <c r="M72" i="8" s="1"/>
  <c r="M46" i="8"/>
  <c r="L23" i="8"/>
  <c r="L21" i="8" s="1"/>
  <c r="M96" i="8"/>
  <c r="L74" i="8"/>
  <c r="M50" i="8"/>
  <c r="P50" i="8" s="1"/>
  <c r="L46" i="8"/>
  <c r="K344" i="7"/>
  <c r="L203" i="7"/>
  <c r="O203" i="7" s="1"/>
  <c r="P147" i="7"/>
  <c r="P67" i="7"/>
  <c r="N61" i="7"/>
  <c r="N59" i="7" s="1"/>
  <c r="M284" i="7"/>
  <c r="M282" i="7" s="1"/>
  <c r="P385" i="7"/>
  <c r="N188" i="7"/>
  <c r="N186" i="7" s="1"/>
  <c r="M141" i="7"/>
  <c r="M139" i="7" s="1"/>
  <c r="O385" i="7"/>
  <c r="I242" i="7"/>
  <c r="K242" i="7" s="1"/>
  <c r="O144" i="7"/>
  <c r="N305" i="6"/>
  <c r="N303" i="6" s="1"/>
  <c r="I136" i="7"/>
  <c r="K136" i="7" s="1"/>
  <c r="K368" i="7"/>
  <c r="P341" i="7"/>
  <c r="L339" i="7"/>
  <c r="O339" i="7" s="1"/>
  <c r="N175" i="7"/>
  <c r="N173" i="7" s="1"/>
  <c r="M159" i="7"/>
  <c r="P159" i="7" s="1"/>
  <c r="M127" i="7"/>
  <c r="P127" i="7" s="1"/>
  <c r="P336" i="7"/>
  <c r="L305" i="7"/>
  <c r="O305" i="7" s="1"/>
  <c r="L96" i="7"/>
  <c r="O285" i="6"/>
  <c r="N379" i="7"/>
  <c r="N377" i="7" s="1"/>
  <c r="K365" i="7"/>
  <c r="N358" i="7"/>
  <c r="N356" i="7" s="1"/>
  <c r="J351" i="7"/>
  <c r="I253" i="7"/>
  <c r="K253" i="7" s="1"/>
  <c r="L145" i="7"/>
  <c r="O145" i="7" s="1"/>
  <c r="M142" i="7"/>
  <c r="I137" i="7"/>
  <c r="K137" i="7" s="1"/>
  <c r="P80" i="7"/>
  <c r="L272" i="7"/>
  <c r="O272" i="7" s="1"/>
  <c r="N268" i="7"/>
  <c r="N266" i="7" s="1"/>
  <c r="M163" i="7"/>
  <c r="P163" i="7" s="1"/>
  <c r="L128" i="7"/>
  <c r="O128" i="7" s="1"/>
  <c r="L61" i="7"/>
  <c r="M46" i="7"/>
  <c r="M44" i="7" s="1"/>
  <c r="K280" i="7"/>
  <c r="L234" i="7"/>
  <c r="N189" i="7"/>
  <c r="P189" i="7" s="1"/>
  <c r="O47" i="7"/>
  <c r="P382" i="7"/>
  <c r="K369" i="7"/>
  <c r="P364" i="7"/>
  <c r="P338" i="7"/>
  <c r="I332" i="7"/>
  <c r="N305" i="7"/>
  <c r="N303" i="7" s="1"/>
  <c r="L306" i="7"/>
  <c r="O306" i="7" s="1"/>
  <c r="L284" i="7"/>
  <c r="L282" i="7" s="1"/>
  <c r="N284" i="7"/>
  <c r="O271" i="7"/>
  <c r="I238" i="7"/>
  <c r="K238" i="7" s="1"/>
  <c r="I221" i="7"/>
  <c r="K221" i="7" s="1"/>
  <c r="K169" i="7"/>
  <c r="P162" i="7"/>
  <c r="L142" i="7"/>
  <c r="P133" i="7"/>
  <c r="N127" i="7"/>
  <c r="N125" i="7" s="1"/>
  <c r="O99" i="7"/>
  <c r="L97" i="7"/>
  <c r="O97" i="7" s="1"/>
  <c r="N74" i="7"/>
  <c r="N72" i="7" s="1"/>
  <c r="O67" i="7"/>
  <c r="O325" i="6"/>
  <c r="K292" i="6"/>
  <c r="O382" i="7"/>
  <c r="N380" i="7"/>
  <c r="L362" i="7"/>
  <c r="O362" i="7" s="1"/>
  <c r="K330" i="7"/>
  <c r="K314" i="7"/>
  <c r="M305" i="7"/>
  <c r="P305" i="7" s="1"/>
  <c r="K292" i="7"/>
  <c r="P283" i="7"/>
  <c r="I241" i="7"/>
  <c r="K241" i="7" s="1"/>
  <c r="L188" i="7"/>
  <c r="K183" i="7"/>
  <c r="I138" i="7"/>
  <c r="K138" i="7" s="1"/>
  <c r="K109" i="7"/>
  <c r="O165" i="6"/>
  <c r="M100" i="6"/>
  <c r="P100" i="6" s="1"/>
  <c r="P361" i="7"/>
  <c r="N359" i="7"/>
  <c r="P359" i="7" s="1"/>
  <c r="J332" i="7"/>
  <c r="N322" i="7"/>
  <c r="N320" i="7" s="1"/>
  <c r="O194" i="7"/>
  <c r="K172" i="7"/>
  <c r="P178" i="7"/>
  <c r="L131" i="7"/>
  <c r="O131" i="7" s="1"/>
  <c r="O64" i="7"/>
  <c r="N62" i="7"/>
  <c r="P62" i="7" s="1"/>
  <c r="L359" i="7"/>
  <c r="L335" i="7"/>
  <c r="L333" i="7" s="1"/>
  <c r="P290" i="7"/>
  <c r="L268" i="7"/>
  <c r="O268" i="7" s="1"/>
  <c r="L236" i="7"/>
  <c r="P130" i="7"/>
  <c r="L62" i="7"/>
  <c r="N46" i="7"/>
  <c r="N44" i="7" s="1"/>
  <c r="L19" i="7"/>
  <c r="O19" i="7" s="1"/>
  <c r="J343" i="7"/>
  <c r="M309" i="7"/>
  <c r="P309" i="7" s="1"/>
  <c r="K293" i="7"/>
  <c r="M285" i="7"/>
  <c r="P285" i="7" s="1"/>
  <c r="L254" i="7"/>
  <c r="O254" i="7" s="1"/>
  <c r="L235" i="7"/>
  <c r="L214" i="7"/>
  <c r="O214" i="7" s="1"/>
  <c r="O191" i="7"/>
  <c r="P176" i="7"/>
  <c r="M128" i="7"/>
  <c r="P128" i="7" s="1"/>
  <c r="O336" i="7"/>
  <c r="L285" i="7"/>
  <c r="O285" i="7" s="1"/>
  <c r="L326" i="7"/>
  <c r="O326" i="7" s="1"/>
  <c r="N306" i="7"/>
  <c r="L288" i="7"/>
  <c r="O288" i="7" s="1"/>
  <c r="L222" i="7"/>
  <c r="O222" i="7" s="1"/>
  <c r="L179" i="7"/>
  <c r="O179" i="7" s="1"/>
  <c r="O181" i="7"/>
  <c r="L175" i="7"/>
  <c r="I83" i="7"/>
  <c r="K85" i="7"/>
  <c r="M47" i="7"/>
  <c r="P47" i="7" s="1"/>
  <c r="M23" i="7"/>
  <c r="I213" i="6"/>
  <c r="K213" i="6" s="1"/>
  <c r="O361" i="7"/>
  <c r="O338" i="7"/>
  <c r="P325" i="7"/>
  <c r="M306" i="7"/>
  <c r="P306" i="7" s="1"/>
  <c r="P304" i="7"/>
  <c r="P287" i="7"/>
  <c r="M268" i="7"/>
  <c r="P268" i="7" s="1"/>
  <c r="L233" i="7"/>
  <c r="P191" i="7"/>
  <c r="M188" i="7"/>
  <c r="O174" i="7"/>
  <c r="L163" i="7"/>
  <c r="O163" i="7" s="1"/>
  <c r="O165" i="7"/>
  <c r="N159" i="7"/>
  <c r="N157" i="7" s="1"/>
  <c r="M160" i="7"/>
  <c r="P160" i="7" s="1"/>
  <c r="P144" i="7"/>
  <c r="N142" i="7"/>
  <c r="I92" i="7"/>
  <c r="K92" i="7" s="1"/>
  <c r="I82" i="7"/>
  <c r="P77" i="7"/>
  <c r="M61" i="7"/>
  <c r="N19" i="7"/>
  <c r="L243" i="7"/>
  <c r="M179" i="7"/>
  <c r="P179" i="7" s="1"/>
  <c r="I169" i="6"/>
  <c r="K169" i="6" s="1"/>
  <c r="K154" i="6"/>
  <c r="O147" i="6"/>
  <c r="I137" i="6"/>
  <c r="K137" i="6" s="1"/>
  <c r="M379" i="7"/>
  <c r="K371" i="7"/>
  <c r="N335" i="7"/>
  <c r="N333" i="7" s="1"/>
  <c r="P328" i="7"/>
  <c r="O325" i="7"/>
  <c r="M322" i="7"/>
  <c r="O287" i="7"/>
  <c r="I202" i="7"/>
  <c r="K202" i="7" s="1"/>
  <c r="K209" i="7"/>
  <c r="I195" i="7"/>
  <c r="K195" i="7" s="1"/>
  <c r="L26" i="7"/>
  <c r="M175" i="7"/>
  <c r="L236" i="6"/>
  <c r="P181" i="6"/>
  <c r="P178" i="6"/>
  <c r="L100" i="6"/>
  <c r="O100" i="6" s="1"/>
  <c r="L379" i="7"/>
  <c r="O379" i="7" s="1"/>
  <c r="M358" i="7"/>
  <c r="M335" i="7"/>
  <c r="L322" i="7"/>
  <c r="O322" i="7" s="1"/>
  <c r="K281" i="7"/>
  <c r="M269" i="7"/>
  <c r="P269" i="7" s="1"/>
  <c r="P267" i="7"/>
  <c r="P194" i="7"/>
  <c r="O187" i="7"/>
  <c r="L176" i="7"/>
  <c r="O176" i="7" s="1"/>
  <c r="O178" i="7"/>
  <c r="P174" i="7"/>
  <c r="L160" i="7"/>
  <c r="O160" i="7" s="1"/>
  <c r="O162" i="7"/>
  <c r="N141" i="7"/>
  <c r="N139" i="7" s="1"/>
  <c r="N96" i="7"/>
  <c r="N94" i="7" s="1"/>
  <c r="M74" i="7"/>
  <c r="P74" i="7" s="1"/>
  <c r="P64" i="7"/>
  <c r="O60" i="7"/>
  <c r="N26" i="7"/>
  <c r="N24" i="7" s="1"/>
  <c r="P49" i="7"/>
  <c r="K368" i="6"/>
  <c r="M272" i="7"/>
  <c r="P272" i="7" s="1"/>
  <c r="I213" i="7"/>
  <c r="K213" i="7" s="1"/>
  <c r="N179" i="7"/>
  <c r="L159" i="7"/>
  <c r="O159" i="7" s="1"/>
  <c r="P95" i="7"/>
  <c r="M26" i="7"/>
  <c r="M50" i="7"/>
  <c r="P50" i="7" s="1"/>
  <c r="L23" i="7"/>
  <c r="L21" i="7" s="1"/>
  <c r="P102" i="7"/>
  <c r="P99" i="7"/>
  <c r="O80" i="7"/>
  <c r="O77" i="7"/>
  <c r="O52" i="7"/>
  <c r="O49" i="7"/>
  <c r="P25" i="7"/>
  <c r="N23" i="7"/>
  <c r="L141" i="7"/>
  <c r="L127" i="7"/>
  <c r="M96" i="7"/>
  <c r="P96" i="7" s="1"/>
  <c r="L74" i="7"/>
  <c r="O74" i="7" s="1"/>
  <c r="L46" i="7"/>
  <c r="O22" i="7"/>
  <c r="L358" i="5"/>
  <c r="L356" i="5" s="1"/>
  <c r="L26" i="6"/>
  <c r="O26" i="6" s="1"/>
  <c r="M96" i="6"/>
  <c r="P96" i="6" s="1"/>
  <c r="L383" i="6"/>
  <c r="O383" i="6" s="1"/>
  <c r="O364" i="6"/>
  <c r="L96" i="6"/>
  <c r="O96" i="6" s="1"/>
  <c r="N126" i="1"/>
  <c r="M61" i="1"/>
  <c r="M358" i="6"/>
  <c r="M356" i="6" s="1"/>
  <c r="L65" i="6"/>
  <c r="O65" i="6" s="1"/>
  <c r="O359" i="6"/>
  <c r="P176" i="6"/>
  <c r="N61" i="6"/>
  <c r="N59" i="6" s="1"/>
  <c r="I93" i="5"/>
  <c r="K93" i="5" s="1"/>
  <c r="P382" i="6"/>
  <c r="O176" i="6"/>
  <c r="O382" i="6"/>
  <c r="P336" i="6"/>
  <c r="P290" i="6"/>
  <c r="L222" i="6"/>
  <c r="O222" i="6" s="1"/>
  <c r="O191" i="6"/>
  <c r="K183" i="6"/>
  <c r="O64" i="6"/>
  <c r="P49" i="6"/>
  <c r="M188" i="6"/>
  <c r="M186" i="6" s="1"/>
  <c r="P361" i="5"/>
  <c r="L46" i="6"/>
  <c r="L44" i="6" s="1"/>
  <c r="O364" i="5"/>
  <c r="L362" i="5"/>
  <c r="O362" i="5" s="1"/>
  <c r="P364" i="6"/>
  <c r="M359" i="6"/>
  <c r="P359" i="6" s="1"/>
  <c r="K314" i="6"/>
  <c r="P311" i="5"/>
  <c r="P385" i="6"/>
  <c r="P328" i="6"/>
  <c r="L322" i="6"/>
  <c r="O322" i="6" s="1"/>
  <c r="M305" i="6"/>
  <c r="M303" i="6" s="1"/>
  <c r="K293" i="6"/>
  <c r="L235" i="6"/>
  <c r="O189" i="6"/>
  <c r="O160" i="6"/>
  <c r="N141" i="6"/>
  <c r="N139" i="6" s="1"/>
  <c r="P99" i="6"/>
  <c r="M97" i="6"/>
  <c r="P97" i="6" s="1"/>
  <c r="P80" i="6"/>
  <c r="L78" i="6"/>
  <c r="O78" i="6" s="1"/>
  <c r="L379" i="6"/>
  <c r="L377" i="6" s="1"/>
  <c r="O377" i="6" s="1"/>
  <c r="P361" i="6"/>
  <c r="P341" i="6"/>
  <c r="L335" i="6"/>
  <c r="L333" i="6" s="1"/>
  <c r="O328" i="6"/>
  <c r="O308" i="6"/>
  <c r="K280" i="6"/>
  <c r="P287" i="6"/>
  <c r="L234" i="6"/>
  <c r="L214" i="6"/>
  <c r="O214" i="6" s="1"/>
  <c r="L203" i="6"/>
  <c r="O203" i="6" s="1"/>
  <c r="K198" i="6"/>
  <c r="O133" i="6"/>
  <c r="L97" i="6"/>
  <c r="O97" i="6" s="1"/>
  <c r="I83" i="6"/>
  <c r="P77" i="6"/>
  <c r="P52" i="6"/>
  <c r="L50" i="6"/>
  <c r="O50" i="6" s="1"/>
  <c r="O361" i="6"/>
  <c r="J343" i="6"/>
  <c r="O341" i="6"/>
  <c r="P325" i="6"/>
  <c r="O287" i="6"/>
  <c r="N268" i="6"/>
  <c r="N266" i="6" s="1"/>
  <c r="L243" i="6"/>
  <c r="O243" i="6" s="1"/>
  <c r="O194" i="6"/>
  <c r="P165" i="6"/>
  <c r="O130" i="6"/>
  <c r="P95" i="6"/>
  <c r="I93" i="6"/>
  <c r="K93" i="6" s="1"/>
  <c r="I82" i="6"/>
  <c r="K82" i="6" s="1"/>
  <c r="L47" i="6"/>
  <c r="O47" i="6" s="1"/>
  <c r="P338" i="6"/>
  <c r="M268" i="6"/>
  <c r="P268" i="6" s="1"/>
  <c r="L254" i="6"/>
  <c r="O254" i="6" s="1"/>
  <c r="P162" i="6"/>
  <c r="L62" i="6"/>
  <c r="O62" i="6" s="1"/>
  <c r="K154" i="5"/>
  <c r="K365" i="6"/>
  <c r="J351" i="6"/>
  <c r="K346" i="6"/>
  <c r="O338" i="6"/>
  <c r="K302" i="6"/>
  <c r="N306" i="6"/>
  <c r="P285" i="6"/>
  <c r="N232" i="6"/>
  <c r="N188" i="6"/>
  <c r="K153" i="6"/>
  <c r="L74" i="6"/>
  <c r="L72" i="6" s="1"/>
  <c r="O72" i="6" s="1"/>
  <c r="N379" i="6"/>
  <c r="N377" i="6" s="1"/>
  <c r="I319" i="6"/>
  <c r="K319" i="6" s="1"/>
  <c r="N127" i="6"/>
  <c r="N125" i="6" s="1"/>
  <c r="P19" i="6"/>
  <c r="P162" i="5"/>
  <c r="M379" i="6"/>
  <c r="P379" i="6" s="1"/>
  <c r="K371" i="6"/>
  <c r="N358" i="6"/>
  <c r="K344" i="6"/>
  <c r="L339" i="6"/>
  <c r="O339" i="6" s="1"/>
  <c r="P144" i="6"/>
  <c r="P64" i="6"/>
  <c r="M62" i="6"/>
  <c r="P62" i="6" s="1"/>
  <c r="M61" i="6"/>
  <c r="O19" i="6"/>
  <c r="O304" i="6"/>
  <c r="O144" i="6"/>
  <c r="N142" i="6"/>
  <c r="O142" i="6" s="1"/>
  <c r="N26" i="6"/>
  <c r="N24" i="6" s="1"/>
  <c r="K183" i="5"/>
  <c r="J332" i="6"/>
  <c r="K332" i="6" s="1"/>
  <c r="O267" i="6"/>
  <c r="I253" i="6"/>
  <c r="K253" i="6" s="1"/>
  <c r="K260" i="6"/>
  <c r="I238" i="6"/>
  <c r="K238" i="6" s="1"/>
  <c r="O187" i="6"/>
  <c r="P47" i="6"/>
  <c r="O382" i="5"/>
  <c r="P378" i="6"/>
  <c r="L358" i="6"/>
  <c r="P311" i="6"/>
  <c r="M309" i="6"/>
  <c r="P309" i="6" s="1"/>
  <c r="P308" i="6"/>
  <c r="M306" i="6"/>
  <c r="I202" i="6"/>
  <c r="K202" i="6" s="1"/>
  <c r="K209" i="6"/>
  <c r="P140" i="6"/>
  <c r="P126" i="6"/>
  <c r="K108" i="6"/>
  <c r="I92" i="6"/>
  <c r="K92" i="6" s="1"/>
  <c r="O336" i="6"/>
  <c r="P194" i="6"/>
  <c r="M192" i="6"/>
  <c r="P192" i="6" s="1"/>
  <c r="O60" i="6"/>
  <c r="P274" i="6"/>
  <c r="M272" i="6"/>
  <c r="P272" i="6" s="1"/>
  <c r="P271" i="6"/>
  <c r="M269" i="6"/>
  <c r="P269" i="6" s="1"/>
  <c r="P191" i="6"/>
  <c r="M189" i="6"/>
  <c r="P189" i="6" s="1"/>
  <c r="M26" i="6"/>
  <c r="P67" i="6"/>
  <c r="M65" i="6"/>
  <c r="P65" i="6" s="1"/>
  <c r="N19" i="6"/>
  <c r="N335" i="6"/>
  <c r="N333" i="6" s="1"/>
  <c r="L305" i="6"/>
  <c r="O290" i="6"/>
  <c r="L268" i="6"/>
  <c r="O268" i="6" s="1"/>
  <c r="L233" i="6"/>
  <c r="L188" i="6"/>
  <c r="O181" i="6"/>
  <c r="O178" i="6"/>
  <c r="O162" i="6"/>
  <c r="M141" i="6"/>
  <c r="M127" i="6"/>
  <c r="P127" i="6" s="1"/>
  <c r="O77" i="6"/>
  <c r="L61" i="6"/>
  <c r="O49" i="6"/>
  <c r="N23" i="6"/>
  <c r="M335" i="6"/>
  <c r="L309" i="6"/>
  <c r="O309" i="6" s="1"/>
  <c r="L306" i="6"/>
  <c r="N284" i="6"/>
  <c r="N282" i="6" s="1"/>
  <c r="L272" i="6"/>
  <c r="O272" i="6" s="1"/>
  <c r="L269" i="6"/>
  <c r="O269" i="6" s="1"/>
  <c r="I242" i="6"/>
  <c r="N175" i="6"/>
  <c r="N173" i="6" s="1"/>
  <c r="N159" i="6"/>
  <c r="N157" i="6" s="1"/>
  <c r="M145" i="6"/>
  <c r="P145" i="6" s="1"/>
  <c r="M142" i="6"/>
  <c r="L141" i="6"/>
  <c r="M131" i="6"/>
  <c r="P131" i="6" s="1"/>
  <c r="M128" i="6"/>
  <c r="P128" i="6" s="1"/>
  <c r="L127" i="6"/>
  <c r="O99" i="6"/>
  <c r="N74" i="6"/>
  <c r="N72" i="6" s="1"/>
  <c r="P60" i="6"/>
  <c r="N46" i="6"/>
  <c r="N44" i="6" s="1"/>
  <c r="O25" i="6"/>
  <c r="M23" i="6"/>
  <c r="N322" i="6"/>
  <c r="N320" i="6" s="1"/>
  <c r="M284" i="6"/>
  <c r="K229" i="6"/>
  <c r="M175" i="6"/>
  <c r="I168" i="6"/>
  <c r="K168" i="6" s="1"/>
  <c r="M159" i="6"/>
  <c r="P159" i="6" s="1"/>
  <c r="N96" i="6"/>
  <c r="N94" i="6" s="1"/>
  <c r="M74" i="6"/>
  <c r="P74" i="6" s="1"/>
  <c r="N50" i="6"/>
  <c r="M46" i="6"/>
  <c r="L23" i="6"/>
  <c r="L21" i="6" s="1"/>
  <c r="M322" i="6"/>
  <c r="P322" i="6" s="1"/>
  <c r="L284" i="6"/>
  <c r="O284" i="6" s="1"/>
  <c r="L175" i="6"/>
  <c r="K167" i="6"/>
  <c r="L159" i="6"/>
  <c r="K84" i="6"/>
  <c r="P22" i="6"/>
  <c r="K369" i="4"/>
  <c r="M379" i="5"/>
  <c r="P379" i="5" s="1"/>
  <c r="J351" i="5"/>
  <c r="L235" i="5"/>
  <c r="P133" i="4"/>
  <c r="N141" i="5"/>
  <c r="N139" i="5" s="1"/>
  <c r="O338" i="5"/>
  <c r="O133" i="5"/>
  <c r="L100" i="5"/>
  <c r="O100" i="5" s="1"/>
  <c r="P385" i="5"/>
  <c r="O271" i="5"/>
  <c r="P336" i="5"/>
  <c r="N305" i="3"/>
  <c r="N303" i="3" s="1"/>
  <c r="K251" i="4"/>
  <c r="K330" i="5"/>
  <c r="N322" i="5"/>
  <c r="N320" i="5" s="1"/>
  <c r="P308" i="5"/>
  <c r="N268" i="5"/>
  <c r="N266" i="5" s="1"/>
  <c r="P178" i="5"/>
  <c r="P130" i="5"/>
  <c r="O308" i="5"/>
  <c r="O287" i="5"/>
  <c r="K368" i="5"/>
  <c r="N188" i="5"/>
  <c r="N186" i="5" s="1"/>
  <c r="I137" i="5"/>
  <c r="K137" i="5" s="1"/>
  <c r="O67" i="5"/>
  <c r="O64" i="5"/>
  <c r="M380" i="5"/>
  <c r="P380" i="5" s="1"/>
  <c r="O361" i="5"/>
  <c r="K346" i="5"/>
  <c r="P290" i="5"/>
  <c r="J332" i="5"/>
  <c r="K332" i="5" s="1"/>
  <c r="P271" i="5"/>
  <c r="L214" i="5"/>
  <c r="O214" i="5" s="1"/>
  <c r="I213" i="5"/>
  <c r="K213" i="5" s="1"/>
  <c r="L127" i="5"/>
  <c r="O127" i="5" s="1"/>
  <c r="L96" i="5"/>
  <c r="O96" i="5" s="1"/>
  <c r="N269" i="5"/>
  <c r="N175" i="5"/>
  <c r="N173" i="5" s="1"/>
  <c r="N159" i="5"/>
  <c r="N157" i="5" s="1"/>
  <c r="L141" i="5"/>
  <c r="N61" i="5"/>
  <c r="N59" i="5" s="1"/>
  <c r="O385" i="5"/>
  <c r="K344" i="5"/>
  <c r="M335" i="5"/>
  <c r="M333" i="5" s="1"/>
  <c r="N335" i="5"/>
  <c r="O311" i="5"/>
  <c r="N284" i="5"/>
  <c r="N282" i="5" s="1"/>
  <c r="L285" i="5"/>
  <c r="O285" i="5" s="1"/>
  <c r="K198" i="5"/>
  <c r="I168" i="5"/>
  <c r="K168" i="5" s="1"/>
  <c r="L128" i="5"/>
  <c r="O128" i="5" s="1"/>
  <c r="N19" i="5"/>
  <c r="O47" i="5"/>
  <c r="O176" i="4"/>
  <c r="O130" i="4"/>
  <c r="N358" i="5"/>
  <c r="N356" i="5" s="1"/>
  <c r="O359" i="5"/>
  <c r="P341" i="5"/>
  <c r="O336" i="5"/>
  <c r="L335" i="5"/>
  <c r="L333" i="5" s="1"/>
  <c r="P285" i="5"/>
  <c r="I221" i="5"/>
  <c r="K221" i="5" s="1"/>
  <c r="O194" i="5"/>
  <c r="O176" i="5"/>
  <c r="K167" i="5"/>
  <c r="P147" i="5"/>
  <c r="P382" i="5"/>
  <c r="K369" i="5"/>
  <c r="P364" i="5"/>
  <c r="J343" i="5"/>
  <c r="O341" i="5"/>
  <c r="N305" i="5"/>
  <c r="N303" i="5" s="1"/>
  <c r="O274" i="5"/>
  <c r="L236" i="5"/>
  <c r="P191" i="5"/>
  <c r="O147" i="5"/>
  <c r="L142" i="5"/>
  <c r="P133" i="5"/>
  <c r="P77" i="5"/>
  <c r="N46" i="5"/>
  <c r="N44" i="5" s="1"/>
  <c r="K220" i="4"/>
  <c r="K314" i="5"/>
  <c r="M305" i="5"/>
  <c r="L222" i="5"/>
  <c r="O222" i="5" s="1"/>
  <c r="O191" i="5"/>
  <c r="N189" i="5"/>
  <c r="P189" i="5" s="1"/>
  <c r="P165" i="5"/>
  <c r="N74" i="5"/>
  <c r="N72" i="5" s="1"/>
  <c r="P49" i="5"/>
  <c r="L19" i="5"/>
  <c r="O19" i="5" s="1"/>
  <c r="M377" i="5"/>
  <c r="P377" i="5" s="1"/>
  <c r="K365" i="5"/>
  <c r="M326" i="5"/>
  <c r="P326" i="5" s="1"/>
  <c r="P382" i="4"/>
  <c r="N379" i="5"/>
  <c r="N377" i="5" s="1"/>
  <c r="P325" i="5"/>
  <c r="M322" i="5"/>
  <c r="P322" i="5" s="1"/>
  <c r="M284" i="5"/>
  <c r="L234" i="5"/>
  <c r="L243" i="5"/>
  <c r="P181" i="5"/>
  <c r="N127" i="5"/>
  <c r="N125" i="5" s="1"/>
  <c r="P80" i="5"/>
  <c r="P62" i="5"/>
  <c r="M61" i="5"/>
  <c r="K346" i="4"/>
  <c r="L179" i="4"/>
  <c r="O179" i="4" s="1"/>
  <c r="K371" i="5"/>
  <c r="L322" i="5"/>
  <c r="L306" i="5"/>
  <c r="O306" i="5" s="1"/>
  <c r="L305" i="5"/>
  <c r="M306" i="5"/>
  <c r="P306" i="5" s="1"/>
  <c r="L288" i="5"/>
  <c r="O288" i="5" s="1"/>
  <c r="L284" i="5"/>
  <c r="P274" i="5"/>
  <c r="L254" i="5"/>
  <c r="O254" i="5" s="1"/>
  <c r="L233" i="5"/>
  <c r="L203" i="5"/>
  <c r="O203" i="5" s="1"/>
  <c r="M159" i="5"/>
  <c r="I138" i="5"/>
  <c r="K138" i="5" s="1"/>
  <c r="N26" i="5"/>
  <c r="N24" i="5" s="1"/>
  <c r="N100" i="5"/>
  <c r="I92" i="5"/>
  <c r="K92" i="5" s="1"/>
  <c r="I82" i="5"/>
  <c r="P67" i="5"/>
  <c r="O62" i="5"/>
  <c r="O60" i="5"/>
  <c r="L26" i="5"/>
  <c r="I83" i="5"/>
  <c r="K85" i="5"/>
  <c r="P290" i="4"/>
  <c r="O287" i="4"/>
  <c r="L379" i="5"/>
  <c r="M358" i="5"/>
  <c r="I280" i="5"/>
  <c r="K280" i="5" s="1"/>
  <c r="K293" i="5"/>
  <c r="P287" i="5"/>
  <c r="M188" i="5"/>
  <c r="O160" i="5"/>
  <c r="M26" i="5"/>
  <c r="M50" i="5"/>
  <c r="P50" i="5" s="1"/>
  <c r="L23" i="5"/>
  <c r="L326" i="5"/>
  <c r="O326" i="5" s="1"/>
  <c r="M284" i="4"/>
  <c r="M282" i="4" s="1"/>
  <c r="L61" i="4"/>
  <c r="L59" i="4" s="1"/>
  <c r="M359" i="5"/>
  <c r="P359" i="5" s="1"/>
  <c r="P338" i="5"/>
  <c r="L323" i="5"/>
  <c r="O323" i="5" s="1"/>
  <c r="K292" i="5"/>
  <c r="O283" i="5"/>
  <c r="M268" i="5"/>
  <c r="I253" i="5"/>
  <c r="K253" i="5" s="1"/>
  <c r="K260" i="5"/>
  <c r="I238" i="5"/>
  <c r="K238" i="5" s="1"/>
  <c r="I242" i="5"/>
  <c r="K249" i="5"/>
  <c r="I202" i="5"/>
  <c r="K202" i="5" s="1"/>
  <c r="K209" i="5"/>
  <c r="P194" i="5"/>
  <c r="O187" i="5"/>
  <c r="P176" i="5"/>
  <c r="M175" i="5"/>
  <c r="O158" i="5"/>
  <c r="O144" i="5"/>
  <c r="P144" i="5"/>
  <c r="N142" i="5"/>
  <c r="N96" i="5"/>
  <c r="N94" i="5" s="1"/>
  <c r="M74" i="5"/>
  <c r="P64" i="5"/>
  <c r="M47" i="5"/>
  <c r="P47" i="5" s="1"/>
  <c r="M23" i="5"/>
  <c r="M46" i="5"/>
  <c r="L268" i="5"/>
  <c r="O268" i="5" s="1"/>
  <c r="L188" i="5"/>
  <c r="O181" i="5"/>
  <c r="O178" i="5"/>
  <c r="I169" i="5"/>
  <c r="K169" i="5" s="1"/>
  <c r="O165" i="5"/>
  <c r="O162" i="5"/>
  <c r="M141" i="5"/>
  <c r="M127" i="5"/>
  <c r="P127" i="5" s="1"/>
  <c r="P102" i="5"/>
  <c r="P99" i="5"/>
  <c r="O80" i="5"/>
  <c r="O77" i="5"/>
  <c r="L61" i="5"/>
  <c r="O52" i="5"/>
  <c r="O49" i="5"/>
  <c r="P25" i="5"/>
  <c r="N23" i="5"/>
  <c r="O99" i="5"/>
  <c r="O25" i="5"/>
  <c r="L175" i="5"/>
  <c r="L173" i="5" s="1"/>
  <c r="L159" i="5"/>
  <c r="M96" i="5"/>
  <c r="P96" i="5" s="1"/>
  <c r="L74" i="5"/>
  <c r="O74" i="5" s="1"/>
  <c r="L46" i="5"/>
  <c r="L44" i="5" s="1"/>
  <c r="P385" i="4"/>
  <c r="M96" i="4"/>
  <c r="P96" i="4" s="1"/>
  <c r="L78" i="4"/>
  <c r="O78" i="4" s="1"/>
  <c r="P341" i="4"/>
  <c r="P338" i="4"/>
  <c r="M335" i="4"/>
  <c r="M333" i="4" s="1"/>
  <c r="K368" i="4"/>
  <c r="K109" i="4"/>
  <c r="N46" i="4"/>
  <c r="N44" i="4" s="1"/>
  <c r="J343" i="4"/>
  <c r="P49" i="4"/>
  <c r="J351" i="4"/>
  <c r="K314" i="4"/>
  <c r="L159" i="4"/>
  <c r="O159" i="4" s="1"/>
  <c r="M127" i="4"/>
  <c r="P127" i="4" s="1"/>
  <c r="M100" i="4"/>
  <c r="P100" i="4" s="1"/>
  <c r="O274" i="3"/>
  <c r="O194" i="3"/>
  <c r="P67" i="4"/>
  <c r="L65" i="4"/>
  <c r="O65" i="4" s="1"/>
  <c r="M305" i="4"/>
  <c r="M303" i="4" s="1"/>
  <c r="M272" i="4"/>
  <c r="P272" i="4" s="1"/>
  <c r="L254" i="4"/>
  <c r="O254" i="4" s="1"/>
  <c r="I202" i="4"/>
  <c r="K202" i="4" s="1"/>
  <c r="P194" i="4"/>
  <c r="L163" i="4"/>
  <c r="O163" i="4" s="1"/>
  <c r="P147" i="4"/>
  <c r="N159" i="4"/>
  <c r="N157" i="4" s="1"/>
  <c r="P162" i="4"/>
  <c r="N141" i="4"/>
  <c r="N139" i="4" s="1"/>
  <c r="L305" i="2"/>
  <c r="L303" i="2" s="1"/>
  <c r="M358" i="4"/>
  <c r="M356" i="4" s="1"/>
  <c r="N335" i="4"/>
  <c r="N333" i="4" s="1"/>
  <c r="O328" i="4"/>
  <c r="O306" i="4"/>
  <c r="P304" i="4"/>
  <c r="O271" i="4"/>
  <c r="K260" i="4"/>
  <c r="K153" i="4"/>
  <c r="I136" i="4"/>
  <c r="K136" i="4" s="1"/>
  <c r="L127" i="4"/>
  <c r="O127" i="4" s="1"/>
  <c r="M97" i="4"/>
  <c r="P97" i="4" s="1"/>
  <c r="L46" i="4"/>
  <c r="L305" i="4"/>
  <c r="L188" i="4"/>
  <c r="L186" i="4" s="1"/>
  <c r="L379" i="4"/>
  <c r="L377" i="4" s="1"/>
  <c r="O377" i="4" s="1"/>
  <c r="O359" i="4"/>
  <c r="N322" i="4"/>
  <c r="N320" i="4" s="1"/>
  <c r="L214" i="4"/>
  <c r="O214" i="4" s="1"/>
  <c r="L203" i="4"/>
  <c r="O203" i="4" s="1"/>
  <c r="L96" i="4"/>
  <c r="O96" i="4" s="1"/>
  <c r="O325" i="3"/>
  <c r="O385" i="4"/>
  <c r="M309" i="4"/>
  <c r="P309" i="4" s="1"/>
  <c r="M268" i="4"/>
  <c r="P268" i="4" s="1"/>
  <c r="L268" i="4"/>
  <c r="O268" i="4" s="1"/>
  <c r="L236" i="4"/>
  <c r="I238" i="4"/>
  <c r="K238" i="4" s="1"/>
  <c r="O194" i="4"/>
  <c r="L189" i="4"/>
  <c r="O133" i="4"/>
  <c r="L74" i="4"/>
  <c r="N61" i="4"/>
  <c r="N59" i="4" s="1"/>
  <c r="L62" i="4"/>
  <c r="O62" i="4" s="1"/>
  <c r="M19" i="4"/>
  <c r="P364" i="4"/>
  <c r="K344" i="4"/>
  <c r="I332" i="4"/>
  <c r="O308" i="4"/>
  <c r="M285" i="4"/>
  <c r="L235" i="4"/>
  <c r="K229" i="4"/>
  <c r="L222" i="4"/>
  <c r="O222" i="4" s="1"/>
  <c r="O191" i="4"/>
  <c r="K169" i="4"/>
  <c r="L160" i="4"/>
  <c r="O160" i="4" s="1"/>
  <c r="M141" i="4"/>
  <c r="K108" i="4"/>
  <c r="P62" i="4"/>
  <c r="L50" i="4"/>
  <c r="O50" i="4" s="1"/>
  <c r="P189" i="3"/>
  <c r="O382" i="4"/>
  <c r="L380" i="4"/>
  <c r="O380" i="4" s="1"/>
  <c r="K365" i="4"/>
  <c r="P361" i="4"/>
  <c r="P359" i="4"/>
  <c r="K330" i="4"/>
  <c r="M306" i="4"/>
  <c r="P306" i="4" s="1"/>
  <c r="K293" i="4"/>
  <c r="L284" i="4"/>
  <c r="L282" i="4" s="1"/>
  <c r="L234" i="4"/>
  <c r="L175" i="4"/>
  <c r="L173" i="4" s="1"/>
  <c r="I137" i="4"/>
  <c r="K137" i="4" s="1"/>
  <c r="P130" i="4"/>
  <c r="O45" i="4"/>
  <c r="I231" i="4"/>
  <c r="K231" i="4" s="1"/>
  <c r="K242" i="4"/>
  <c r="L145" i="4"/>
  <c r="O145" i="4" s="1"/>
  <c r="P19" i="4"/>
  <c r="P359" i="3"/>
  <c r="N379" i="4"/>
  <c r="N377" i="4" s="1"/>
  <c r="O364" i="4"/>
  <c r="O361" i="4"/>
  <c r="O341" i="4"/>
  <c r="N336" i="4"/>
  <c r="P336" i="4" s="1"/>
  <c r="L335" i="4"/>
  <c r="P325" i="4"/>
  <c r="M322" i="4"/>
  <c r="P287" i="4"/>
  <c r="N285" i="4"/>
  <c r="P283" i="4"/>
  <c r="K280" i="4"/>
  <c r="M188" i="4"/>
  <c r="M186" i="4" s="1"/>
  <c r="P176" i="4"/>
  <c r="O158" i="4"/>
  <c r="O144" i="4"/>
  <c r="L141" i="4"/>
  <c r="M74" i="4"/>
  <c r="M72" i="4" s="1"/>
  <c r="O60" i="4"/>
  <c r="O19" i="4"/>
  <c r="N74" i="4"/>
  <c r="N72" i="4" s="1"/>
  <c r="M358" i="3"/>
  <c r="M356" i="3" s="1"/>
  <c r="O359" i="3"/>
  <c r="P336" i="3"/>
  <c r="M379" i="4"/>
  <c r="K371" i="4"/>
  <c r="N358" i="4"/>
  <c r="N356" i="4" s="1"/>
  <c r="O325" i="4"/>
  <c r="L322" i="4"/>
  <c r="O322" i="4" s="1"/>
  <c r="O311" i="4"/>
  <c r="O290" i="4"/>
  <c r="O274" i="4"/>
  <c r="L233" i="4"/>
  <c r="P191" i="4"/>
  <c r="P181" i="4"/>
  <c r="P144" i="4"/>
  <c r="N142" i="4"/>
  <c r="P142" i="4" s="1"/>
  <c r="P140" i="4"/>
  <c r="O102" i="4"/>
  <c r="I83" i="4"/>
  <c r="P77" i="4"/>
  <c r="P64" i="4"/>
  <c r="N26" i="4"/>
  <c r="N24" i="4" s="1"/>
  <c r="N50" i="4"/>
  <c r="L26" i="4"/>
  <c r="O26" i="4" s="1"/>
  <c r="M326" i="4"/>
  <c r="P326" i="4" s="1"/>
  <c r="L243" i="4"/>
  <c r="N188" i="4"/>
  <c r="N186" i="4" s="1"/>
  <c r="M335" i="3"/>
  <c r="M333" i="3" s="1"/>
  <c r="O336" i="3"/>
  <c r="L61" i="3"/>
  <c r="L59" i="3" s="1"/>
  <c r="J332" i="4"/>
  <c r="O338" i="4"/>
  <c r="L336" i="4"/>
  <c r="O334" i="4"/>
  <c r="K249" i="4"/>
  <c r="I195" i="4"/>
  <c r="K195" i="4" s="1"/>
  <c r="N189" i="4"/>
  <c r="P189" i="4" s="1"/>
  <c r="O187" i="4"/>
  <c r="N175" i="4"/>
  <c r="N173" i="4" s="1"/>
  <c r="I172" i="4"/>
  <c r="K172" i="4" s="1"/>
  <c r="P165" i="4"/>
  <c r="L23" i="4"/>
  <c r="L21" i="4" s="1"/>
  <c r="L97" i="4"/>
  <c r="O97" i="4" s="1"/>
  <c r="M26" i="4"/>
  <c r="M50" i="4"/>
  <c r="P50" i="4" s="1"/>
  <c r="M46" i="4"/>
  <c r="P45" i="4"/>
  <c r="L358" i="4"/>
  <c r="M175" i="4"/>
  <c r="N163" i="4"/>
  <c r="N127" i="4"/>
  <c r="N125" i="4" s="1"/>
  <c r="P75" i="4"/>
  <c r="P73" i="4"/>
  <c r="I241" i="4"/>
  <c r="K241" i="4" s="1"/>
  <c r="M47" i="4"/>
  <c r="M23" i="4"/>
  <c r="N305" i="4"/>
  <c r="K292" i="4"/>
  <c r="N284" i="4"/>
  <c r="N268" i="4"/>
  <c r="N266" i="4" s="1"/>
  <c r="P178" i="4"/>
  <c r="M159" i="4"/>
  <c r="P159" i="4" s="1"/>
  <c r="N96" i="4"/>
  <c r="N94" i="4" s="1"/>
  <c r="I82" i="4"/>
  <c r="P80" i="4"/>
  <c r="M61" i="4"/>
  <c r="M59" i="4" s="1"/>
  <c r="N23" i="4"/>
  <c r="N47" i="4"/>
  <c r="O47" i="4" s="1"/>
  <c r="N19" i="4"/>
  <c r="P308" i="4"/>
  <c r="P271" i="4"/>
  <c r="O178" i="4"/>
  <c r="O162" i="4"/>
  <c r="P99" i="4"/>
  <c r="O77" i="4"/>
  <c r="O49" i="4"/>
  <c r="K84" i="4"/>
  <c r="O64" i="4"/>
  <c r="P22" i="4"/>
  <c r="O22" i="4"/>
  <c r="L235" i="3"/>
  <c r="O311" i="3"/>
  <c r="L234" i="3"/>
  <c r="L254" i="3"/>
  <c r="O254" i="3" s="1"/>
  <c r="P165" i="3"/>
  <c r="K330" i="3"/>
  <c r="N284" i="3"/>
  <c r="N282" i="3" s="1"/>
  <c r="N159" i="3"/>
  <c r="N157" i="3" s="1"/>
  <c r="M335" i="1"/>
  <c r="P335" i="1" s="1"/>
  <c r="L26" i="3"/>
  <c r="L24" i="3" s="1"/>
  <c r="O24" i="3" s="1"/>
  <c r="P290" i="3"/>
  <c r="L131" i="3"/>
  <c r="O131" i="3" s="1"/>
  <c r="O133" i="3"/>
  <c r="N268" i="1"/>
  <c r="P290" i="2"/>
  <c r="O382" i="3"/>
  <c r="K344" i="3"/>
  <c r="P328" i="3"/>
  <c r="L188" i="3"/>
  <c r="L186" i="3" s="1"/>
  <c r="P325" i="3"/>
  <c r="L305" i="3"/>
  <c r="L303" i="3" s="1"/>
  <c r="L268" i="3"/>
  <c r="O268" i="3" s="1"/>
  <c r="K220" i="3"/>
  <c r="O67" i="3"/>
  <c r="L65" i="3"/>
  <c r="O65" i="3" s="1"/>
  <c r="M97" i="3"/>
  <c r="P97" i="3" s="1"/>
  <c r="K365" i="3"/>
  <c r="K292" i="3"/>
  <c r="K154" i="3"/>
  <c r="M141" i="3"/>
  <c r="M139" i="3" s="1"/>
  <c r="M65" i="3"/>
  <c r="P65" i="3" s="1"/>
  <c r="P67" i="3"/>
  <c r="N74" i="3"/>
  <c r="N72" i="3" s="1"/>
  <c r="M380" i="3"/>
  <c r="P380" i="3" s="1"/>
  <c r="N232" i="3"/>
  <c r="I202" i="2"/>
  <c r="K202" i="2" s="1"/>
  <c r="N379" i="3"/>
  <c r="N377" i="3" s="1"/>
  <c r="K368" i="3"/>
  <c r="O308" i="3"/>
  <c r="N268" i="3"/>
  <c r="N266" i="3" s="1"/>
  <c r="O271" i="3"/>
  <c r="L236" i="3"/>
  <c r="K202" i="3"/>
  <c r="L179" i="3"/>
  <c r="O179" i="3" s="1"/>
  <c r="P130" i="3"/>
  <c r="I92" i="3"/>
  <c r="K92" i="3" s="1"/>
  <c r="I82" i="3"/>
  <c r="I70" i="3" s="1"/>
  <c r="K70" i="3" s="1"/>
  <c r="P64" i="3"/>
  <c r="M322" i="3"/>
  <c r="P322" i="3" s="1"/>
  <c r="L306" i="3"/>
  <c r="O306" i="3" s="1"/>
  <c r="L269" i="3"/>
  <c r="O269" i="3" s="1"/>
  <c r="I253" i="3"/>
  <c r="K253" i="3" s="1"/>
  <c r="I242" i="3"/>
  <c r="K242" i="3" s="1"/>
  <c r="I238" i="3"/>
  <c r="K238" i="3" s="1"/>
  <c r="N175" i="3"/>
  <c r="N173" i="3" s="1"/>
  <c r="I168" i="3"/>
  <c r="K168" i="3" s="1"/>
  <c r="K138" i="3"/>
  <c r="P147" i="3"/>
  <c r="O130" i="3"/>
  <c r="O64" i="3"/>
  <c r="M131" i="3"/>
  <c r="P131" i="3" s="1"/>
  <c r="M284" i="2"/>
  <c r="M282" i="2" s="1"/>
  <c r="L383" i="3"/>
  <c r="O383" i="3" s="1"/>
  <c r="J351" i="3"/>
  <c r="P338" i="3"/>
  <c r="O328" i="3"/>
  <c r="N322" i="3"/>
  <c r="N320" i="3" s="1"/>
  <c r="P311" i="3"/>
  <c r="I302" i="3"/>
  <c r="K302" i="3" s="1"/>
  <c r="P194" i="3"/>
  <c r="K167" i="3"/>
  <c r="K152" i="3"/>
  <c r="O147" i="3"/>
  <c r="N61" i="3"/>
  <c r="N62" i="3"/>
  <c r="P62" i="3" s="1"/>
  <c r="M175" i="1"/>
  <c r="N45" i="1"/>
  <c r="L322" i="3"/>
  <c r="O322" i="3" s="1"/>
  <c r="L203" i="3"/>
  <c r="O203" i="3" s="1"/>
  <c r="K137" i="3"/>
  <c r="P144" i="3"/>
  <c r="M142" i="3"/>
  <c r="P142" i="3" s="1"/>
  <c r="M127" i="3"/>
  <c r="P127" i="3" s="1"/>
  <c r="L127" i="3"/>
  <c r="O127" i="3" s="1"/>
  <c r="P80" i="3"/>
  <c r="P77" i="3"/>
  <c r="M74" i="3"/>
  <c r="P74" i="3" s="1"/>
  <c r="L62" i="3"/>
  <c r="L19" i="3"/>
  <c r="O19" i="3" s="1"/>
  <c r="K371" i="3"/>
  <c r="K369" i="3"/>
  <c r="P361" i="3"/>
  <c r="O142" i="3"/>
  <c r="P285" i="3"/>
  <c r="I156" i="2"/>
  <c r="K156" i="2" s="1"/>
  <c r="K169" i="2"/>
  <c r="M268" i="3"/>
  <c r="L131" i="2"/>
  <c r="O131" i="2" s="1"/>
  <c r="O133" i="2"/>
  <c r="M362" i="3"/>
  <c r="P362" i="3" s="1"/>
  <c r="J343" i="3"/>
  <c r="M339" i="3"/>
  <c r="P339" i="3" s="1"/>
  <c r="L233" i="3"/>
  <c r="P176" i="3"/>
  <c r="N128" i="3"/>
  <c r="N127" i="3"/>
  <c r="N125" i="3" s="1"/>
  <c r="P75" i="3"/>
  <c r="L74" i="3"/>
  <c r="N159" i="2"/>
  <c r="N157" i="2" s="1"/>
  <c r="M379" i="3"/>
  <c r="P379" i="3" s="1"/>
  <c r="N309" i="3"/>
  <c r="L288" i="3"/>
  <c r="O288" i="3" s="1"/>
  <c r="M284" i="3"/>
  <c r="O267" i="3"/>
  <c r="L214" i="3"/>
  <c r="O214" i="3" s="1"/>
  <c r="M175" i="3"/>
  <c r="P178" i="3"/>
  <c r="I172" i="3"/>
  <c r="K172" i="3" s="1"/>
  <c r="N163" i="3"/>
  <c r="L141" i="3"/>
  <c r="O144" i="3"/>
  <c r="M306" i="3"/>
  <c r="P306" i="3" s="1"/>
  <c r="P308" i="3"/>
  <c r="K293" i="1"/>
  <c r="M322" i="2"/>
  <c r="P322" i="2" s="1"/>
  <c r="L379" i="3"/>
  <c r="O379" i="3" s="1"/>
  <c r="P364" i="3"/>
  <c r="O361" i="3"/>
  <c r="N358" i="3"/>
  <c r="P341" i="3"/>
  <c r="O338" i="3"/>
  <c r="N335" i="3"/>
  <c r="J332" i="3"/>
  <c r="K332" i="3" s="1"/>
  <c r="K293" i="3"/>
  <c r="I280" i="3"/>
  <c r="K280" i="3" s="1"/>
  <c r="P287" i="3"/>
  <c r="L284" i="3"/>
  <c r="P274" i="3"/>
  <c r="N188" i="3"/>
  <c r="O160" i="3"/>
  <c r="P102" i="3"/>
  <c r="M96" i="3"/>
  <c r="O64" i="1"/>
  <c r="I136" i="2"/>
  <c r="K136" i="2" s="1"/>
  <c r="P378" i="3"/>
  <c r="O364" i="3"/>
  <c r="O341" i="3"/>
  <c r="M305" i="3"/>
  <c r="P283" i="3"/>
  <c r="L243" i="3"/>
  <c r="M188" i="3"/>
  <c r="P181" i="3"/>
  <c r="L175" i="3"/>
  <c r="M159" i="3"/>
  <c r="P159" i="3" s="1"/>
  <c r="P162" i="3"/>
  <c r="N145" i="3"/>
  <c r="N141" i="3"/>
  <c r="N139" i="3" s="1"/>
  <c r="O102" i="3"/>
  <c r="L100" i="3"/>
  <c r="O100" i="3" s="1"/>
  <c r="I83" i="3"/>
  <c r="K85" i="3"/>
  <c r="L78" i="3"/>
  <c r="O78" i="3" s="1"/>
  <c r="N23" i="3"/>
  <c r="N46" i="3"/>
  <c r="N44" i="3" s="1"/>
  <c r="P47" i="3"/>
  <c r="O189" i="3"/>
  <c r="O308" i="1"/>
  <c r="M379" i="1"/>
  <c r="P379" i="1" s="1"/>
  <c r="M128" i="2"/>
  <c r="P128" i="2" s="1"/>
  <c r="P130" i="2"/>
  <c r="M383" i="3"/>
  <c r="P383" i="3" s="1"/>
  <c r="L358" i="3"/>
  <c r="K346" i="3"/>
  <c r="L335" i="3"/>
  <c r="N272" i="3"/>
  <c r="I221" i="3"/>
  <c r="K221" i="3" s="1"/>
  <c r="K229" i="3"/>
  <c r="K209" i="3"/>
  <c r="O191" i="3"/>
  <c r="P174" i="3"/>
  <c r="O162" i="3"/>
  <c r="L159" i="3"/>
  <c r="K109" i="3"/>
  <c r="L96" i="3"/>
  <c r="O99" i="3"/>
  <c r="P49" i="3"/>
  <c r="M46" i="3"/>
  <c r="M44" i="3" s="1"/>
  <c r="M23" i="3"/>
  <c r="N26" i="3"/>
  <c r="N24" i="3" s="1"/>
  <c r="L188" i="2"/>
  <c r="L186" i="2" s="1"/>
  <c r="O287" i="3"/>
  <c r="L285" i="3"/>
  <c r="O285" i="3" s="1"/>
  <c r="P271" i="3"/>
  <c r="L222" i="3"/>
  <c r="O222" i="3" s="1"/>
  <c r="I195" i="3"/>
  <c r="K195" i="3" s="1"/>
  <c r="P191" i="3"/>
  <c r="O178" i="3"/>
  <c r="L176" i="3"/>
  <c r="O176" i="3" s="1"/>
  <c r="K153" i="3"/>
  <c r="O73" i="3"/>
  <c r="L47" i="3"/>
  <c r="O47" i="3" s="1"/>
  <c r="L23" i="3"/>
  <c r="L21" i="3" s="1"/>
  <c r="O49" i="3"/>
  <c r="P45" i="3"/>
  <c r="L163" i="3"/>
  <c r="O163" i="3" s="1"/>
  <c r="N96" i="3"/>
  <c r="N94" i="3" s="1"/>
  <c r="N78" i="3"/>
  <c r="L75" i="3"/>
  <c r="O75" i="3" s="1"/>
  <c r="O77" i="3"/>
  <c r="P73" i="3"/>
  <c r="M26" i="3"/>
  <c r="P26" i="3" s="1"/>
  <c r="M50" i="3"/>
  <c r="P50" i="3" s="1"/>
  <c r="M19" i="3"/>
  <c r="P25" i="3"/>
  <c r="I156" i="3"/>
  <c r="K156" i="3" s="1"/>
  <c r="M61" i="3"/>
  <c r="L50" i="3"/>
  <c r="O50" i="3" s="1"/>
  <c r="O52" i="3"/>
  <c r="L46" i="3"/>
  <c r="N19" i="3"/>
  <c r="O22" i="3"/>
  <c r="L321" i="1"/>
  <c r="O321" i="1" s="1"/>
  <c r="N62" i="1"/>
  <c r="P338" i="2"/>
  <c r="L234" i="2"/>
  <c r="L97" i="2"/>
  <c r="O97" i="2" s="1"/>
  <c r="I93" i="2"/>
  <c r="K93" i="2" s="1"/>
  <c r="O338" i="2"/>
  <c r="L254" i="2"/>
  <c r="O254" i="2" s="1"/>
  <c r="K229" i="2"/>
  <c r="N96" i="2"/>
  <c r="N94" i="2" s="1"/>
  <c r="O328" i="2"/>
  <c r="P325" i="2"/>
  <c r="M323" i="2"/>
  <c r="P323" i="2" s="1"/>
  <c r="K368" i="2"/>
  <c r="P189" i="2"/>
  <c r="L175" i="2"/>
  <c r="L173" i="2" s="1"/>
  <c r="L61" i="2"/>
  <c r="L59" i="2" s="1"/>
  <c r="N179" i="1"/>
  <c r="N269" i="1"/>
  <c r="N272" i="1"/>
  <c r="L272" i="2"/>
  <c r="O272" i="2" s="1"/>
  <c r="I138" i="2"/>
  <c r="K138" i="2" s="1"/>
  <c r="O102" i="2"/>
  <c r="M267" i="1"/>
  <c r="P267" i="1" s="1"/>
  <c r="K109" i="1"/>
  <c r="N358" i="2"/>
  <c r="N356" i="2" s="1"/>
  <c r="O271" i="2"/>
  <c r="L214" i="2"/>
  <c r="O214" i="2" s="1"/>
  <c r="N175" i="2"/>
  <c r="P147" i="2"/>
  <c r="P52" i="2"/>
  <c r="M96" i="1"/>
  <c r="P48" i="1"/>
  <c r="P165" i="2"/>
  <c r="M141" i="2"/>
  <c r="P141" i="2" s="1"/>
  <c r="M46" i="2"/>
  <c r="M44" i="2" s="1"/>
  <c r="K238" i="1"/>
  <c r="I319" i="2"/>
  <c r="K319" i="2" s="1"/>
  <c r="P306" i="2"/>
  <c r="I238" i="2"/>
  <c r="K238" i="2" s="1"/>
  <c r="I92" i="2"/>
  <c r="K92" i="2" s="1"/>
  <c r="K242" i="2"/>
  <c r="I231" i="2"/>
  <c r="K231" i="2" s="1"/>
  <c r="J343" i="2"/>
  <c r="I83" i="2"/>
  <c r="I71" i="2" s="1"/>
  <c r="K71" i="2" s="1"/>
  <c r="L50" i="1"/>
  <c r="O50" i="1" s="1"/>
  <c r="K151" i="1"/>
  <c r="N163" i="1"/>
  <c r="L232" i="1"/>
  <c r="L378" i="1"/>
  <c r="O378" i="1" s="1"/>
  <c r="K371" i="2"/>
  <c r="K369" i="2"/>
  <c r="P361" i="2"/>
  <c r="N335" i="2"/>
  <c r="N333" i="2" s="1"/>
  <c r="M326" i="2"/>
  <c r="P326" i="2" s="1"/>
  <c r="O311" i="2"/>
  <c r="K293" i="2"/>
  <c r="P271" i="2"/>
  <c r="K260" i="2"/>
  <c r="K249" i="2"/>
  <c r="L203" i="2"/>
  <c r="O203" i="2" s="1"/>
  <c r="O194" i="2"/>
  <c r="L159" i="2"/>
  <c r="O159" i="2" s="1"/>
  <c r="P144" i="2"/>
  <c r="M142" i="2"/>
  <c r="P142" i="2" s="1"/>
  <c r="P133" i="2"/>
  <c r="M127" i="2"/>
  <c r="M125" i="2" s="1"/>
  <c r="P125" i="2" s="1"/>
  <c r="N127" i="2"/>
  <c r="N125" i="2" s="1"/>
  <c r="P77" i="2"/>
  <c r="O67" i="2"/>
  <c r="K183" i="1"/>
  <c r="O361" i="2"/>
  <c r="L284" i="2"/>
  <c r="L282" i="2" s="1"/>
  <c r="N232" i="2"/>
  <c r="L141" i="2"/>
  <c r="L139" i="2" s="1"/>
  <c r="O139" i="2" s="1"/>
  <c r="L127" i="2"/>
  <c r="L125" i="2" s="1"/>
  <c r="O125" i="2" s="1"/>
  <c r="O324" i="1"/>
  <c r="N326" i="1"/>
  <c r="L362" i="1"/>
  <c r="O362" i="1" s="1"/>
  <c r="N379" i="2"/>
  <c r="N377" i="2" s="1"/>
  <c r="J351" i="2"/>
  <c r="K346" i="2"/>
  <c r="O325" i="2"/>
  <c r="P308" i="2"/>
  <c r="L306" i="2"/>
  <c r="O306" i="2" s="1"/>
  <c r="N284" i="2"/>
  <c r="N282" i="2" s="1"/>
  <c r="J231" i="2"/>
  <c r="J185" i="2" s="1"/>
  <c r="L236" i="2"/>
  <c r="P191" i="2"/>
  <c r="L189" i="2"/>
  <c r="O189" i="2" s="1"/>
  <c r="M159" i="2"/>
  <c r="P159" i="2" s="1"/>
  <c r="P140" i="2"/>
  <c r="O64" i="2"/>
  <c r="L235" i="2"/>
  <c r="P181" i="2"/>
  <c r="N61" i="2"/>
  <c r="N59" i="2" s="1"/>
  <c r="L62" i="2"/>
  <c r="O62" i="2" s="1"/>
  <c r="P49" i="2"/>
  <c r="M47" i="2"/>
  <c r="P47" i="2" s="1"/>
  <c r="L19" i="2"/>
  <c r="O19" i="2" s="1"/>
  <c r="L28" i="1"/>
  <c r="O28" i="1" s="1"/>
  <c r="L45" i="1"/>
  <c r="O45" i="1" s="1"/>
  <c r="P49" i="1"/>
  <c r="J83" i="1"/>
  <c r="J71" i="1" s="1"/>
  <c r="M131" i="1"/>
  <c r="P131" i="1" s="1"/>
  <c r="K368" i="1"/>
  <c r="K344" i="2"/>
  <c r="N322" i="2"/>
  <c r="N320" i="2" s="1"/>
  <c r="L268" i="2"/>
  <c r="O268" i="2" s="1"/>
  <c r="I213" i="2"/>
  <c r="K213" i="2" s="1"/>
  <c r="M175" i="2"/>
  <c r="O147" i="2"/>
  <c r="O130" i="2"/>
  <c r="L96" i="2"/>
  <c r="O96" i="2" s="1"/>
  <c r="M19" i="2"/>
  <c r="K365" i="2"/>
  <c r="I172" i="2"/>
  <c r="K172" i="2" s="1"/>
  <c r="M100" i="2"/>
  <c r="P100" i="2" s="1"/>
  <c r="P102" i="2"/>
  <c r="M78" i="2"/>
  <c r="P78" i="2" s="1"/>
  <c r="P67" i="2"/>
  <c r="M65" i="2"/>
  <c r="P65" i="2" s="1"/>
  <c r="K89" i="1"/>
  <c r="L95" i="1"/>
  <c r="O95" i="1" s="1"/>
  <c r="L158" i="1"/>
  <c r="O158" i="1" s="1"/>
  <c r="M176" i="1"/>
  <c r="M174" i="1"/>
  <c r="L188" i="1"/>
  <c r="M383" i="2"/>
  <c r="P383" i="2" s="1"/>
  <c r="M380" i="2"/>
  <c r="P380" i="2" s="1"/>
  <c r="L379" i="2"/>
  <c r="O379" i="2" s="1"/>
  <c r="N359" i="2"/>
  <c r="M358" i="2"/>
  <c r="N336" i="2"/>
  <c r="M335" i="2"/>
  <c r="M285" i="2"/>
  <c r="L243" i="2"/>
  <c r="M176" i="2"/>
  <c r="M160" i="2"/>
  <c r="P160" i="2" s="1"/>
  <c r="L78" i="2"/>
  <c r="O78" i="2" s="1"/>
  <c r="O80" i="2"/>
  <c r="N26" i="2"/>
  <c r="N24" i="2" s="1"/>
  <c r="N358" i="1"/>
  <c r="M379" i="2"/>
  <c r="N285" i="2"/>
  <c r="I281" i="2"/>
  <c r="K281" i="2" s="1"/>
  <c r="P19" i="2"/>
  <c r="M23" i="1"/>
  <c r="K317" i="1"/>
  <c r="L380" i="1"/>
  <c r="O380" i="1" s="1"/>
  <c r="L383" i="2"/>
  <c r="O383" i="2" s="1"/>
  <c r="L380" i="2"/>
  <c r="O380" i="2" s="1"/>
  <c r="M362" i="2"/>
  <c r="P362" i="2" s="1"/>
  <c r="M359" i="2"/>
  <c r="L358" i="2"/>
  <c r="M339" i="2"/>
  <c r="P339" i="2" s="1"/>
  <c r="M336" i="2"/>
  <c r="L335" i="2"/>
  <c r="J332" i="2"/>
  <c r="K332" i="2" s="1"/>
  <c r="O287" i="2"/>
  <c r="L285" i="2"/>
  <c r="L222" i="2"/>
  <c r="O222" i="2" s="1"/>
  <c r="I195" i="2"/>
  <c r="K195" i="2" s="1"/>
  <c r="O178" i="2"/>
  <c r="L176" i="2"/>
  <c r="L160" i="2"/>
  <c r="O160" i="2" s="1"/>
  <c r="L142" i="2"/>
  <c r="O142" i="2" s="1"/>
  <c r="M96" i="2"/>
  <c r="P73" i="2"/>
  <c r="M26" i="2"/>
  <c r="P26" i="2" s="1"/>
  <c r="K280" i="1"/>
  <c r="N176" i="2"/>
  <c r="N160" i="2"/>
  <c r="N128" i="1"/>
  <c r="N145" i="1"/>
  <c r="N160" i="1"/>
  <c r="K198" i="1"/>
  <c r="K209" i="1"/>
  <c r="N214" i="1"/>
  <c r="K296" i="1"/>
  <c r="L323" i="1"/>
  <c r="O378" i="2"/>
  <c r="L362" i="2"/>
  <c r="O362" i="2" s="1"/>
  <c r="L359" i="2"/>
  <c r="P357" i="2"/>
  <c r="L339" i="2"/>
  <c r="O339" i="2" s="1"/>
  <c r="L336" i="2"/>
  <c r="P334" i="2"/>
  <c r="L322" i="2"/>
  <c r="O322" i="2" s="1"/>
  <c r="P311" i="2"/>
  <c r="O308" i="2"/>
  <c r="N305" i="2"/>
  <c r="N303" i="2" s="1"/>
  <c r="P274" i="2"/>
  <c r="N268" i="2"/>
  <c r="N266" i="2" s="1"/>
  <c r="L233" i="2"/>
  <c r="P194" i="2"/>
  <c r="O191" i="2"/>
  <c r="N188" i="2"/>
  <c r="I137" i="2"/>
  <c r="K137" i="2" s="1"/>
  <c r="M74" i="2"/>
  <c r="P74" i="2" s="1"/>
  <c r="P64" i="2"/>
  <c r="M62" i="2"/>
  <c r="P62" i="2" s="1"/>
  <c r="O60" i="2"/>
  <c r="L50" i="2"/>
  <c r="O50" i="2" s="1"/>
  <c r="O52" i="2"/>
  <c r="L26" i="2"/>
  <c r="L203" i="1"/>
  <c r="M380" i="1"/>
  <c r="P380" i="1" s="1"/>
  <c r="P321" i="2"/>
  <c r="M305" i="2"/>
  <c r="I302" i="2"/>
  <c r="K302" i="2" s="1"/>
  <c r="L288" i="2"/>
  <c r="O288" i="2" s="1"/>
  <c r="M268" i="2"/>
  <c r="M188" i="2"/>
  <c r="L179" i="2"/>
  <c r="O179" i="2" s="1"/>
  <c r="L163" i="2"/>
  <c r="O163" i="2" s="1"/>
  <c r="M97" i="2"/>
  <c r="P97" i="2" s="1"/>
  <c r="P99" i="2"/>
  <c r="I82" i="2"/>
  <c r="L75" i="2"/>
  <c r="O75" i="2" s="1"/>
  <c r="O77" i="2"/>
  <c r="N74" i="2"/>
  <c r="N72" i="2" s="1"/>
  <c r="O47" i="2"/>
  <c r="K88" i="1"/>
  <c r="N97" i="1"/>
  <c r="O178" i="1"/>
  <c r="L267" i="1"/>
  <c r="O267" i="1" s="1"/>
  <c r="O338" i="1"/>
  <c r="J351" i="1"/>
  <c r="N380" i="1"/>
  <c r="P287" i="2"/>
  <c r="P178" i="2"/>
  <c r="P162" i="2"/>
  <c r="N141" i="2"/>
  <c r="N139" i="2" s="1"/>
  <c r="L74" i="2"/>
  <c r="M61" i="2"/>
  <c r="N19" i="2"/>
  <c r="O49" i="2"/>
  <c r="P25" i="2"/>
  <c r="N23" i="2"/>
  <c r="N21" i="2" s="1"/>
  <c r="N46" i="2"/>
  <c r="M23" i="2"/>
  <c r="N50" i="2"/>
  <c r="L23" i="2"/>
  <c r="L21" i="2" s="1"/>
  <c r="L46" i="2"/>
  <c r="O22" i="2"/>
  <c r="M26" i="1"/>
  <c r="P26" i="1" s="1"/>
  <c r="L60" i="1"/>
  <c r="O60" i="1" s="1"/>
  <c r="M78" i="1"/>
  <c r="P78" i="1" s="1"/>
  <c r="M95" i="1"/>
  <c r="P95" i="1" s="1"/>
  <c r="P99" i="1"/>
  <c r="M128" i="1"/>
  <c r="P128" i="1" s="1"/>
  <c r="L176" i="1"/>
  <c r="L222" i="1"/>
  <c r="N267" i="1"/>
  <c r="O287" i="1"/>
  <c r="N284" i="1"/>
  <c r="J343" i="1"/>
  <c r="M53" i="1"/>
  <c r="P53" i="1" s="1"/>
  <c r="N61" i="1"/>
  <c r="N78" i="1"/>
  <c r="K90" i="1"/>
  <c r="N96" i="1"/>
  <c r="M141" i="1"/>
  <c r="P141" i="1" s="1"/>
  <c r="K167" i="1"/>
  <c r="N188" i="1"/>
  <c r="N222" i="1"/>
  <c r="K295" i="1"/>
  <c r="K369" i="1"/>
  <c r="M269" i="1"/>
  <c r="P269" i="1" s="1"/>
  <c r="N309" i="1"/>
  <c r="O363" i="1"/>
  <c r="O144" i="1"/>
  <c r="M159" i="1"/>
  <c r="P159" i="1" s="1"/>
  <c r="I172" i="1"/>
  <c r="K172" i="1" s="1"/>
  <c r="L175" i="1"/>
  <c r="N53" i="1"/>
  <c r="N60" i="1"/>
  <c r="K117" i="1"/>
  <c r="N192" i="1"/>
  <c r="O196" i="1"/>
  <c r="K228" i="1"/>
  <c r="N305" i="1"/>
  <c r="L358" i="1"/>
  <c r="O361" i="1"/>
  <c r="O48" i="1"/>
  <c r="N46" i="1"/>
  <c r="J82" i="1"/>
  <c r="J70" i="1" s="1"/>
  <c r="N131" i="1"/>
  <c r="P144" i="1"/>
  <c r="O161" i="1"/>
  <c r="L163" i="1"/>
  <c r="O163" i="1" s="1"/>
  <c r="P178" i="1"/>
  <c r="N288" i="1"/>
  <c r="M326" i="1"/>
  <c r="P326" i="1" s="1"/>
  <c r="P327" i="1"/>
  <c r="M50" i="1"/>
  <c r="P50" i="1" s="1"/>
  <c r="M47" i="1"/>
  <c r="P54" i="1"/>
  <c r="P64" i="1"/>
  <c r="L75" i="1"/>
  <c r="M97" i="1"/>
  <c r="L128" i="1"/>
  <c r="O128" i="1" s="1"/>
  <c r="N127" i="1"/>
  <c r="P132" i="1"/>
  <c r="L140" i="1"/>
  <c r="M163" i="1"/>
  <c r="P163" i="1" s="1"/>
  <c r="I168" i="1"/>
  <c r="K168" i="1" s="1"/>
  <c r="N158" i="1"/>
  <c r="N157" i="1" s="1"/>
  <c r="M29" i="1"/>
  <c r="P29" i="1" s="1"/>
  <c r="L53" i="1"/>
  <c r="O53" i="1" s="1"/>
  <c r="M22" i="1"/>
  <c r="L65" i="1"/>
  <c r="O65" i="1" s="1"/>
  <c r="L141" i="1"/>
  <c r="O141" i="1" s="1"/>
  <c r="I156" i="1"/>
  <c r="K156" i="1" s="1"/>
  <c r="P177" i="1"/>
  <c r="L179" i="1"/>
  <c r="O179" i="1" s="1"/>
  <c r="M187" i="1"/>
  <c r="P187" i="1" s="1"/>
  <c r="N383" i="1"/>
  <c r="N378" i="1"/>
  <c r="N377" i="1" s="1"/>
  <c r="M100" i="1"/>
  <c r="P100" i="1" s="1"/>
  <c r="I83" i="1"/>
  <c r="M142" i="1"/>
  <c r="N175" i="1"/>
  <c r="K229" i="1"/>
  <c r="I221" i="1"/>
  <c r="K221" i="1" s="1"/>
  <c r="P274" i="1"/>
  <c r="M272" i="1"/>
  <c r="P272" i="1" s="1"/>
  <c r="M25" i="1"/>
  <c r="P25" i="1" s="1"/>
  <c r="N47" i="1"/>
  <c r="L26" i="1"/>
  <c r="O26" i="1" s="1"/>
  <c r="P63" i="1"/>
  <c r="M60" i="1"/>
  <c r="N22" i="1"/>
  <c r="L127" i="1"/>
  <c r="O127" i="1" s="1"/>
  <c r="K150" i="1"/>
  <c r="M160" i="1"/>
  <c r="P160" i="1" s="1"/>
  <c r="N176" i="1"/>
  <c r="M189" i="1"/>
  <c r="L288" i="1"/>
  <c r="O288" i="1" s="1"/>
  <c r="O289" i="1"/>
  <c r="O191" i="1"/>
  <c r="M306" i="1"/>
  <c r="K330" i="1"/>
  <c r="M336" i="1"/>
  <c r="K346" i="1"/>
  <c r="M359" i="1"/>
  <c r="P361" i="1"/>
  <c r="K371" i="1"/>
  <c r="N189" i="1"/>
  <c r="M192" i="1"/>
  <c r="P192" i="1" s="1"/>
  <c r="K202" i="1"/>
  <c r="P270" i="1"/>
  <c r="M285" i="1"/>
  <c r="K292" i="1"/>
  <c r="K319" i="1"/>
  <c r="J332" i="1"/>
  <c r="K332" i="1" s="1"/>
  <c r="K315" i="1"/>
  <c r="M334" i="1"/>
  <c r="P334" i="1" s="1"/>
  <c r="P338" i="1"/>
  <c r="M357" i="1"/>
  <c r="P357" i="1" s="1"/>
  <c r="K219" i="1"/>
  <c r="K316" i="1"/>
  <c r="O311" i="1"/>
  <c r="L305" i="1"/>
  <c r="O341" i="1"/>
  <c r="L335" i="1"/>
  <c r="O335" i="1" s="1"/>
  <c r="L339" i="1"/>
  <c r="O339" i="1" s="1"/>
  <c r="L131" i="1"/>
  <c r="O131" i="1" s="1"/>
  <c r="O132" i="1"/>
  <c r="L126" i="1"/>
  <c r="N26" i="1"/>
  <c r="M45" i="1"/>
  <c r="N74" i="1"/>
  <c r="P74" i="1" s="1"/>
  <c r="P77" i="1"/>
  <c r="O77" i="1"/>
  <c r="N322" i="1"/>
  <c r="N320" i="1" s="1"/>
  <c r="P325" i="1"/>
  <c r="L46" i="1"/>
  <c r="O49" i="1"/>
  <c r="L47" i="1"/>
  <c r="L23" i="1"/>
  <c r="M65" i="1"/>
  <c r="P65" i="1" s="1"/>
  <c r="P66" i="1"/>
  <c r="N336" i="1"/>
  <c r="N334" i="1"/>
  <c r="N333" i="1" s="1"/>
  <c r="N359" i="1"/>
  <c r="N357" i="1"/>
  <c r="N50" i="1"/>
  <c r="N25" i="1"/>
  <c r="P76" i="1"/>
  <c r="M73" i="1"/>
  <c r="M75" i="1"/>
  <c r="L96" i="1"/>
  <c r="O99" i="1"/>
  <c r="L97" i="1"/>
  <c r="N140" i="1"/>
  <c r="N139" i="1" s="1"/>
  <c r="L25" i="1"/>
  <c r="I82" i="1"/>
  <c r="K220" i="1"/>
  <c r="J213" i="1"/>
  <c r="K213" i="1" s="1"/>
  <c r="L272" i="1"/>
  <c r="O272" i="1" s="1"/>
  <c r="O273" i="1"/>
  <c r="L74" i="1"/>
  <c r="K153" i="1"/>
  <c r="I138" i="1"/>
  <c r="K138" i="1" s="1"/>
  <c r="L285" i="1"/>
  <c r="O286" i="1"/>
  <c r="L283" i="1"/>
  <c r="N304" i="1"/>
  <c r="N306" i="1"/>
  <c r="P324" i="1"/>
  <c r="M321" i="1"/>
  <c r="M323" i="1"/>
  <c r="O271" i="1"/>
  <c r="L268" i="1"/>
  <c r="O268" i="1" s="1"/>
  <c r="L29" i="1"/>
  <c r="O29" i="1" s="1"/>
  <c r="N65" i="1"/>
  <c r="L73" i="1"/>
  <c r="N75" i="1"/>
  <c r="N95" i="1"/>
  <c r="M127" i="1"/>
  <c r="P127" i="1" s="1"/>
  <c r="M145" i="1"/>
  <c r="P145" i="1" s="1"/>
  <c r="L174" i="1"/>
  <c r="O177" i="1"/>
  <c r="J195" i="1"/>
  <c r="K195" i="1" s="1"/>
  <c r="J199" i="1"/>
  <c r="N203" i="1"/>
  <c r="L269" i="1"/>
  <c r="O269" i="1" s="1"/>
  <c r="L309" i="1"/>
  <c r="O309" i="1" s="1"/>
  <c r="N323" i="1"/>
  <c r="K365" i="1"/>
  <c r="L22" i="1"/>
  <c r="L78" i="1"/>
  <c r="O78" i="1" s="1"/>
  <c r="K92" i="1"/>
  <c r="N142" i="1"/>
  <c r="K154" i="1"/>
  <c r="I136" i="1"/>
  <c r="K136" i="1" s="1"/>
  <c r="N187" i="1"/>
  <c r="L214" i="1"/>
  <c r="K230" i="1"/>
  <c r="N232" i="1"/>
  <c r="M268" i="1"/>
  <c r="N283" i="1"/>
  <c r="N285" i="1"/>
  <c r="P308" i="1"/>
  <c r="M305" i="1"/>
  <c r="P363" i="1"/>
  <c r="M362" i="1"/>
  <c r="P362" i="1" s="1"/>
  <c r="L62" i="1"/>
  <c r="O55" i="1"/>
  <c r="L61" i="1"/>
  <c r="M62" i="1"/>
  <c r="N73" i="1"/>
  <c r="L145" i="1"/>
  <c r="O145" i="1" s="1"/>
  <c r="O146" i="1"/>
  <c r="P191" i="1"/>
  <c r="M188" i="1"/>
  <c r="L192" i="1"/>
  <c r="O192" i="1" s="1"/>
  <c r="O325" i="1"/>
  <c r="L322" i="1"/>
  <c r="O322" i="1" s="1"/>
  <c r="P340" i="1"/>
  <c r="M339" i="1"/>
  <c r="P339" i="1" s="1"/>
  <c r="N362" i="1"/>
  <c r="O162" i="1"/>
  <c r="L159" i="1"/>
  <c r="N23" i="1"/>
  <c r="M28" i="1"/>
  <c r="N28" i="1"/>
  <c r="N27" i="1" s="1"/>
  <c r="M46" i="1"/>
  <c r="I93" i="1"/>
  <c r="K93" i="1" s="1"/>
  <c r="L100" i="1"/>
  <c r="O100" i="1" s="1"/>
  <c r="N100" i="1"/>
  <c r="K108" i="1"/>
  <c r="L142" i="1"/>
  <c r="K152" i="1"/>
  <c r="I137" i="1"/>
  <c r="K137" i="1" s="1"/>
  <c r="M158" i="1"/>
  <c r="L160" i="1"/>
  <c r="M179" i="1"/>
  <c r="P179" i="1" s="1"/>
  <c r="P180" i="1"/>
  <c r="L189" i="1"/>
  <c r="O190" i="1"/>
  <c r="L187" i="1"/>
  <c r="J281" i="1"/>
  <c r="K281" i="1" s="1"/>
  <c r="P287" i="1"/>
  <c r="M284" i="1"/>
  <c r="L306" i="1"/>
  <c r="O307" i="1"/>
  <c r="L304" i="1"/>
  <c r="I302" i="1"/>
  <c r="K302" i="1" s="1"/>
  <c r="K314" i="1"/>
  <c r="N339" i="1"/>
  <c r="K344" i="1"/>
  <c r="M378" i="1"/>
  <c r="P381" i="1"/>
  <c r="L383" i="1"/>
  <c r="O383" i="1" s="1"/>
  <c r="M283" i="1"/>
  <c r="M304" i="1"/>
  <c r="M383" i="1"/>
  <c r="P383" i="1" s="1"/>
  <c r="M288" i="1"/>
  <c r="P288" i="1" s="1"/>
  <c r="M309" i="1"/>
  <c r="P309" i="1" s="1"/>
  <c r="L326" i="1"/>
  <c r="O326" i="1" s="1"/>
  <c r="L336" i="1"/>
  <c r="L359" i="1"/>
  <c r="M126" i="1"/>
  <c r="M140" i="1"/>
  <c r="L334" i="1"/>
  <c r="L357" i="1"/>
  <c r="M358" i="1"/>
  <c r="L379" i="1"/>
  <c r="O379" i="1" s="1"/>
  <c r="P46" i="6" l="1"/>
  <c r="L125" i="14"/>
  <c r="O125" i="14" s="1"/>
  <c r="O379" i="11"/>
  <c r="O175" i="17"/>
  <c r="L266" i="17"/>
  <c r="O266" i="17" s="1"/>
  <c r="M157" i="17"/>
  <c r="P157" i="17" s="1"/>
  <c r="L157" i="17"/>
  <c r="O157" i="17" s="1"/>
  <c r="P358" i="17"/>
  <c r="O46" i="15"/>
  <c r="P336" i="17"/>
  <c r="O284" i="1"/>
  <c r="L232" i="18"/>
  <c r="O46" i="17"/>
  <c r="P46" i="18"/>
  <c r="O157" i="18"/>
  <c r="L266" i="18"/>
  <c r="O266" i="18" s="1"/>
  <c r="P322" i="18"/>
  <c r="P282" i="18"/>
  <c r="O127" i="18"/>
  <c r="P320" i="18"/>
  <c r="P72" i="18"/>
  <c r="O356" i="18"/>
  <c r="L320" i="17"/>
  <c r="O320" i="17" s="1"/>
  <c r="P175" i="17"/>
  <c r="O282" i="17"/>
  <c r="O243" i="18"/>
  <c r="P284" i="18"/>
  <c r="P141" i="18"/>
  <c r="O188" i="17"/>
  <c r="N20" i="18"/>
  <c r="O61" i="18"/>
  <c r="O176" i="17"/>
  <c r="O159" i="18"/>
  <c r="P323" i="18"/>
  <c r="L59" i="18"/>
  <c r="O59" i="18" s="1"/>
  <c r="N173" i="17"/>
  <c r="P358" i="18"/>
  <c r="M72" i="17"/>
  <c r="P72" i="17" s="1"/>
  <c r="O284" i="17"/>
  <c r="O282" i="18"/>
  <c r="O62" i="18"/>
  <c r="P188" i="18"/>
  <c r="O358" i="18"/>
  <c r="L320" i="16"/>
  <c r="O320" i="16" s="1"/>
  <c r="N186" i="17"/>
  <c r="O186" i="17" s="1"/>
  <c r="O305" i="17"/>
  <c r="O47" i="18"/>
  <c r="M266" i="18"/>
  <c r="P266" i="18" s="1"/>
  <c r="L72" i="17"/>
  <c r="O72" i="17" s="1"/>
  <c r="M173" i="17"/>
  <c r="O284" i="18"/>
  <c r="M125" i="18"/>
  <c r="P125" i="18" s="1"/>
  <c r="O26" i="18"/>
  <c r="L24" i="18"/>
  <c r="O24" i="18" s="1"/>
  <c r="L20" i="18"/>
  <c r="O23" i="18"/>
  <c r="O175" i="18"/>
  <c r="M59" i="18"/>
  <c r="P59" i="18" s="1"/>
  <c r="P61" i="18"/>
  <c r="P19" i="18"/>
  <c r="M356" i="18"/>
  <c r="P356" i="18" s="1"/>
  <c r="L94" i="16"/>
  <c r="O94" i="16" s="1"/>
  <c r="K83" i="17"/>
  <c r="I70" i="18"/>
  <c r="K70" i="18" s="1"/>
  <c r="K82" i="18"/>
  <c r="N18" i="18"/>
  <c r="P333" i="18"/>
  <c r="P74" i="18"/>
  <c r="O74" i="18"/>
  <c r="L72" i="18"/>
  <c r="O72" i="18" s="1"/>
  <c r="M20" i="18"/>
  <c r="P23" i="18"/>
  <c r="M21" i="18"/>
  <c r="I231" i="18"/>
  <c r="K242" i="18"/>
  <c r="M44" i="18"/>
  <c r="N186" i="18"/>
  <c r="O186" i="18" s="1"/>
  <c r="O188" i="18"/>
  <c r="N303" i="18"/>
  <c r="O303" i="18" s="1"/>
  <c r="O305" i="18"/>
  <c r="N21" i="18"/>
  <c r="L377" i="18"/>
  <c r="O377" i="18" s="1"/>
  <c r="O335" i="18"/>
  <c r="O141" i="18"/>
  <c r="P379" i="17"/>
  <c r="N303" i="17"/>
  <c r="O303" i="17" s="1"/>
  <c r="P335" i="18"/>
  <c r="O46" i="18"/>
  <c r="L44" i="18"/>
  <c r="M24" i="18"/>
  <c r="P24" i="18" s="1"/>
  <c r="P26" i="18"/>
  <c r="M157" i="18"/>
  <c r="P157" i="18" s="1"/>
  <c r="M94" i="18"/>
  <c r="P94" i="18" s="1"/>
  <c r="O333" i="18"/>
  <c r="K82" i="16"/>
  <c r="L21" i="18"/>
  <c r="I71" i="18"/>
  <c r="K71" i="18" s="1"/>
  <c r="K83" i="18"/>
  <c r="M377" i="18"/>
  <c r="P377" i="18" s="1"/>
  <c r="P379" i="18"/>
  <c r="P173" i="18"/>
  <c r="P305" i="18"/>
  <c r="O322" i="18"/>
  <c r="L320" i="18"/>
  <c r="O320" i="18" s="1"/>
  <c r="O173" i="18"/>
  <c r="N139" i="18"/>
  <c r="P139" i="18" s="1"/>
  <c r="P175" i="18"/>
  <c r="I70" i="14"/>
  <c r="K70" i="14" s="1"/>
  <c r="P282" i="17"/>
  <c r="O59" i="17"/>
  <c r="M24" i="17"/>
  <c r="P24" i="17" s="1"/>
  <c r="M125" i="17"/>
  <c r="P125" i="17" s="1"/>
  <c r="P335" i="17"/>
  <c r="K82" i="17"/>
  <c r="M72" i="16"/>
  <c r="P72" i="16" s="1"/>
  <c r="L377" i="17"/>
  <c r="O377" i="17" s="1"/>
  <c r="L94" i="17"/>
  <c r="O94" i="17" s="1"/>
  <c r="P359" i="17"/>
  <c r="L44" i="17"/>
  <c r="O44" i="17" s="1"/>
  <c r="K242" i="17"/>
  <c r="I231" i="17"/>
  <c r="O141" i="14"/>
  <c r="P358" i="15"/>
  <c r="P284" i="17"/>
  <c r="O21" i="17"/>
  <c r="O61" i="17"/>
  <c r="P141" i="17"/>
  <c r="O336" i="17"/>
  <c r="O139" i="17"/>
  <c r="O285" i="17"/>
  <c r="N139" i="14"/>
  <c r="O139" i="14" s="1"/>
  <c r="P46" i="17"/>
  <c r="M44" i="17"/>
  <c r="O127" i="17"/>
  <c r="L125" i="17"/>
  <c r="O125" i="17" s="1"/>
  <c r="M303" i="17"/>
  <c r="P305" i="17"/>
  <c r="L24" i="17"/>
  <c r="O24" i="17" s="1"/>
  <c r="O26" i="17"/>
  <c r="O358" i="17"/>
  <c r="L356" i="17"/>
  <c r="O356" i="17" s="1"/>
  <c r="P176" i="17"/>
  <c r="M20" i="17"/>
  <c r="P23" i="17"/>
  <c r="M21" i="17"/>
  <c r="P21" i="17" s="1"/>
  <c r="M186" i="17"/>
  <c r="P188" i="17"/>
  <c r="M266" i="17"/>
  <c r="P266" i="17" s="1"/>
  <c r="P268" i="17"/>
  <c r="O243" i="17"/>
  <c r="L232" i="17"/>
  <c r="M94" i="17"/>
  <c r="P94" i="17" s="1"/>
  <c r="L377" i="15"/>
  <c r="O377" i="15" s="1"/>
  <c r="O59" i="16"/>
  <c r="O61" i="16"/>
  <c r="M59" i="17"/>
  <c r="P59" i="17" s="1"/>
  <c r="P61" i="17"/>
  <c r="P139" i="17"/>
  <c r="O335" i="17"/>
  <c r="L333" i="17"/>
  <c r="O333" i="17" s="1"/>
  <c r="P285" i="17"/>
  <c r="M333" i="17"/>
  <c r="P333" i="17" s="1"/>
  <c r="O141" i="17"/>
  <c r="M320" i="17"/>
  <c r="P320" i="17" s="1"/>
  <c r="P62" i="16"/>
  <c r="L20" i="17"/>
  <c r="O23" i="17"/>
  <c r="N20" i="17"/>
  <c r="N18" i="17" s="1"/>
  <c r="M356" i="17"/>
  <c r="P356" i="17" s="1"/>
  <c r="L320" i="14"/>
  <c r="O320" i="14" s="1"/>
  <c r="P188" i="16"/>
  <c r="O356" i="16"/>
  <c r="K83" i="16"/>
  <c r="P175" i="16"/>
  <c r="O335" i="16"/>
  <c r="O358" i="16"/>
  <c r="P96" i="15"/>
  <c r="L303" i="15"/>
  <c r="O303" i="15" s="1"/>
  <c r="M125" i="16"/>
  <c r="P125" i="16" s="1"/>
  <c r="L303" i="16"/>
  <c r="O303" i="16" s="1"/>
  <c r="O305" i="16"/>
  <c r="M139" i="16"/>
  <c r="P139" i="16" s="1"/>
  <c r="P335" i="15"/>
  <c r="N20" i="16"/>
  <c r="N18" i="16" s="1"/>
  <c r="O188" i="16"/>
  <c r="N333" i="16"/>
  <c r="O333" i="16" s="1"/>
  <c r="L266" i="16"/>
  <c r="O266" i="16" s="1"/>
  <c r="O268" i="16"/>
  <c r="M377" i="16"/>
  <c r="P377" i="16" s="1"/>
  <c r="M186" i="16"/>
  <c r="L232" i="16"/>
  <c r="P284" i="16"/>
  <c r="L20" i="16"/>
  <c r="O23" i="16"/>
  <c r="O61" i="15"/>
  <c r="L266" i="15"/>
  <c r="O266" i="15" s="1"/>
  <c r="M24" i="16"/>
  <c r="P24" i="16" s="1"/>
  <c r="N21" i="16"/>
  <c r="I231" i="16"/>
  <c r="K253" i="16"/>
  <c r="O141" i="16"/>
  <c r="L139" i="16"/>
  <c r="O139" i="16" s="1"/>
  <c r="M303" i="16"/>
  <c r="P303" i="16" s="1"/>
  <c r="O175" i="16"/>
  <c r="L173" i="16"/>
  <c r="O173" i="16" s="1"/>
  <c r="M125" i="14"/>
  <c r="P125" i="14" s="1"/>
  <c r="P46" i="16"/>
  <c r="N186" i="16"/>
  <c r="O186" i="16" s="1"/>
  <c r="M320" i="16"/>
  <c r="P320" i="16" s="1"/>
  <c r="P44" i="16"/>
  <c r="P96" i="16"/>
  <c r="M94" i="16"/>
  <c r="P94" i="16" s="1"/>
  <c r="O284" i="16"/>
  <c r="L282" i="16"/>
  <c r="O282" i="16" s="1"/>
  <c r="L24" i="16"/>
  <c r="O24" i="16" s="1"/>
  <c r="O26" i="16"/>
  <c r="O159" i="16"/>
  <c r="L157" i="16"/>
  <c r="O157" i="16" s="1"/>
  <c r="L72" i="16"/>
  <c r="O72" i="16" s="1"/>
  <c r="O74" i="16"/>
  <c r="M157" i="16"/>
  <c r="P157" i="16" s="1"/>
  <c r="M266" i="16"/>
  <c r="P266" i="16" s="1"/>
  <c r="M266" i="15"/>
  <c r="P266" i="15" s="1"/>
  <c r="O96" i="15"/>
  <c r="O46" i="16"/>
  <c r="M20" i="16"/>
  <c r="P23" i="16"/>
  <c r="M21" i="16"/>
  <c r="O127" i="16"/>
  <c r="L125" i="16"/>
  <c r="O125" i="16" s="1"/>
  <c r="M333" i="16"/>
  <c r="P335" i="16"/>
  <c r="M282" i="16"/>
  <c r="P282" i="16" s="1"/>
  <c r="P176" i="15"/>
  <c r="L21" i="16"/>
  <c r="L377" i="16"/>
  <c r="O377" i="16" s="1"/>
  <c r="O379" i="16"/>
  <c r="O44" i="16"/>
  <c r="M356" i="16"/>
  <c r="P356" i="16" s="1"/>
  <c r="P358" i="16"/>
  <c r="M59" i="16"/>
  <c r="P59" i="16" s="1"/>
  <c r="P61" i="16"/>
  <c r="M173" i="16"/>
  <c r="P173" i="16" s="1"/>
  <c r="M303" i="15"/>
  <c r="P303" i="15" s="1"/>
  <c r="P188" i="15"/>
  <c r="L94" i="15"/>
  <c r="O94" i="15" s="1"/>
  <c r="N20" i="14"/>
  <c r="N18" i="14" s="1"/>
  <c r="O175" i="15"/>
  <c r="M125" i="15"/>
  <c r="P125" i="15" s="1"/>
  <c r="O74" i="15"/>
  <c r="N333" i="15"/>
  <c r="O333" i="15" s="1"/>
  <c r="P74" i="15"/>
  <c r="P379" i="13"/>
  <c r="P175" i="15"/>
  <c r="O322" i="15"/>
  <c r="P47" i="15"/>
  <c r="O47" i="15"/>
  <c r="P173" i="15"/>
  <c r="O159" i="15"/>
  <c r="L173" i="15"/>
  <c r="O173" i="15" s="1"/>
  <c r="L24" i="14"/>
  <c r="O24" i="14" s="1"/>
  <c r="L44" i="15"/>
  <c r="O44" i="15" s="1"/>
  <c r="O335" i="15"/>
  <c r="P59" i="15"/>
  <c r="P61" i="15"/>
  <c r="M72" i="15"/>
  <c r="P72" i="15" s="1"/>
  <c r="P46" i="15"/>
  <c r="M44" i="15"/>
  <c r="P44" i="15" s="1"/>
  <c r="O188" i="13"/>
  <c r="O359" i="13"/>
  <c r="L59" i="15"/>
  <c r="O59" i="15" s="1"/>
  <c r="M139" i="15"/>
  <c r="P139" i="15" s="1"/>
  <c r="O284" i="15"/>
  <c r="L125" i="15"/>
  <c r="O125" i="15" s="1"/>
  <c r="M320" i="15"/>
  <c r="P320" i="15" s="1"/>
  <c r="P335" i="13"/>
  <c r="O335" i="14"/>
  <c r="P159" i="15"/>
  <c r="M157" i="15"/>
  <c r="P157" i="15" s="1"/>
  <c r="P75" i="15"/>
  <c r="L139" i="15"/>
  <c r="O139" i="15" s="1"/>
  <c r="O188" i="15"/>
  <c r="L186" i="15"/>
  <c r="I71" i="15"/>
  <c r="K71" i="15" s="1"/>
  <c r="K83" i="15"/>
  <c r="P336" i="15"/>
  <c r="O336" i="15"/>
  <c r="P61" i="14"/>
  <c r="P19" i="15"/>
  <c r="K242" i="15"/>
  <c r="I231" i="15"/>
  <c r="O359" i="15"/>
  <c r="P359" i="15"/>
  <c r="L157" i="15"/>
  <c r="O157" i="15" s="1"/>
  <c r="N186" i="15"/>
  <c r="N356" i="15"/>
  <c r="O356" i="15" s="1"/>
  <c r="O175" i="14"/>
  <c r="O61" i="14"/>
  <c r="L72" i="15"/>
  <c r="O72" i="15" s="1"/>
  <c r="O243" i="15"/>
  <c r="L232" i="15"/>
  <c r="L24" i="15"/>
  <c r="O24" i="15" s="1"/>
  <c r="O26" i="15"/>
  <c r="N20" i="15"/>
  <c r="N18" i="15" s="1"/>
  <c r="M94" i="15"/>
  <c r="P94" i="15" s="1"/>
  <c r="M20" i="15"/>
  <c r="M18" i="15" s="1"/>
  <c r="P23" i="15"/>
  <c r="O23" i="15"/>
  <c r="L21" i="15"/>
  <c r="L20" i="15"/>
  <c r="M282" i="15"/>
  <c r="P284" i="15"/>
  <c r="O358" i="15"/>
  <c r="M24" i="15"/>
  <c r="P24" i="15" s="1"/>
  <c r="N282" i="15"/>
  <c r="O282" i="15" s="1"/>
  <c r="M377" i="15"/>
  <c r="P377" i="15" s="1"/>
  <c r="K82" i="15"/>
  <c r="I70" i="15"/>
  <c r="K70" i="15" s="1"/>
  <c r="N21" i="15"/>
  <c r="P21" i="15" s="1"/>
  <c r="O188" i="14"/>
  <c r="L157" i="14"/>
  <c r="O157" i="14" s="1"/>
  <c r="P188" i="14"/>
  <c r="M94" i="14"/>
  <c r="P94" i="14" s="1"/>
  <c r="P175" i="14"/>
  <c r="O44" i="14"/>
  <c r="O59" i="14"/>
  <c r="P189" i="13"/>
  <c r="O46" i="13"/>
  <c r="O96" i="14"/>
  <c r="M320" i="14"/>
  <c r="P320" i="14" s="1"/>
  <c r="P284" i="14"/>
  <c r="P356" i="14"/>
  <c r="P379" i="14"/>
  <c r="I185" i="14"/>
  <c r="K185" i="14" s="1"/>
  <c r="M303" i="14"/>
  <c r="P303" i="14" s="1"/>
  <c r="O284" i="14"/>
  <c r="K242" i="14"/>
  <c r="O282" i="14"/>
  <c r="M186" i="14"/>
  <c r="P186" i="14" s="1"/>
  <c r="L72" i="14"/>
  <c r="O72" i="14" s="1"/>
  <c r="M157" i="14"/>
  <c r="P157" i="14" s="1"/>
  <c r="L303" i="14"/>
  <c r="O303" i="14" s="1"/>
  <c r="I71" i="14"/>
  <c r="K71" i="14" s="1"/>
  <c r="K83" i="14"/>
  <c r="M173" i="14"/>
  <c r="P173" i="14" s="1"/>
  <c r="L173" i="14"/>
  <c r="O173" i="14" s="1"/>
  <c r="L266" i="14"/>
  <c r="O266" i="14" s="1"/>
  <c r="M266" i="14"/>
  <c r="P266" i="14" s="1"/>
  <c r="P46" i="14"/>
  <c r="M266" i="13"/>
  <c r="P266" i="13" s="1"/>
  <c r="M282" i="14"/>
  <c r="P282" i="14" s="1"/>
  <c r="O46" i="14"/>
  <c r="P141" i="14"/>
  <c r="O356" i="14"/>
  <c r="M20" i="14"/>
  <c r="P23" i="14"/>
  <c r="M21" i="14"/>
  <c r="N21" i="14"/>
  <c r="O21" i="14" s="1"/>
  <c r="L333" i="14"/>
  <c r="O333" i="14" s="1"/>
  <c r="O358" i="14"/>
  <c r="L232" i="14"/>
  <c r="M333" i="14"/>
  <c r="P333" i="14" s="1"/>
  <c r="P335" i="14"/>
  <c r="M59" i="14"/>
  <c r="P59" i="14" s="1"/>
  <c r="L377" i="14"/>
  <c r="O377" i="14" s="1"/>
  <c r="P358" i="13"/>
  <c r="I70" i="13"/>
  <c r="K70" i="13" s="1"/>
  <c r="O356" i="13"/>
  <c r="L20" i="14"/>
  <c r="O23" i="14"/>
  <c r="M44" i="14"/>
  <c r="P142" i="14"/>
  <c r="O142" i="14"/>
  <c r="M24" i="14"/>
  <c r="P24" i="14" s="1"/>
  <c r="P26" i="14"/>
  <c r="P358" i="14"/>
  <c r="P359" i="14"/>
  <c r="M72" i="14"/>
  <c r="P72" i="14" s="1"/>
  <c r="P285" i="14"/>
  <c r="L186" i="14"/>
  <c r="O186" i="14" s="1"/>
  <c r="L266" i="13"/>
  <c r="O266" i="13" s="1"/>
  <c r="O62" i="13"/>
  <c r="O358" i="13"/>
  <c r="O189" i="13"/>
  <c r="M333" i="13"/>
  <c r="P333" i="13" s="1"/>
  <c r="M139" i="13"/>
  <c r="P139" i="13" s="1"/>
  <c r="L320" i="13"/>
  <c r="O320" i="13" s="1"/>
  <c r="O96" i="13"/>
  <c r="M24" i="13"/>
  <c r="P24" i="13" s="1"/>
  <c r="O127" i="13"/>
  <c r="L125" i="13"/>
  <c r="O125" i="13" s="1"/>
  <c r="P173" i="12"/>
  <c r="O159" i="13"/>
  <c r="L72" i="13"/>
  <c r="O72" i="13" s="1"/>
  <c r="M94" i="13"/>
  <c r="P94" i="13" s="1"/>
  <c r="L186" i="13"/>
  <c r="O186" i="13" s="1"/>
  <c r="N20" i="13"/>
  <c r="N18" i="13" s="1"/>
  <c r="O61" i="13"/>
  <c r="L232" i="12"/>
  <c r="O61" i="12"/>
  <c r="O59" i="13"/>
  <c r="N40" i="13"/>
  <c r="O23" i="13"/>
  <c r="L20" i="13"/>
  <c r="L21" i="13"/>
  <c r="O21" i="13" s="1"/>
  <c r="M173" i="13"/>
  <c r="P173" i="13" s="1"/>
  <c r="P175" i="13"/>
  <c r="I71" i="13"/>
  <c r="K71" i="13" s="1"/>
  <c r="K83" i="13"/>
  <c r="P46" i="13"/>
  <c r="M44" i="13"/>
  <c r="P284" i="13"/>
  <c r="M282" i="13"/>
  <c r="P282" i="13" s="1"/>
  <c r="L232" i="13"/>
  <c r="O243" i="13"/>
  <c r="M186" i="13"/>
  <c r="P186" i="13" s="1"/>
  <c r="P188" i="13"/>
  <c r="L303" i="13"/>
  <c r="O303" i="13" s="1"/>
  <c r="L24" i="13"/>
  <c r="O24" i="13" s="1"/>
  <c r="L173" i="13"/>
  <c r="O173" i="13" s="1"/>
  <c r="O175" i="13"/>
  <c r="P74" i="13"/>
  <c r="M72" i="13"/>
  <c r="P72" i="13" s="1"/>
  <c r="L44" i="13"/>
  <c r="M303" i="13"/>
  <c r="P303" i="13" s="1"/>
  <c r="L377" i="13"/>
  <c r="O377" i="13" s="1"/>
  <c r="M20" i="13"/>
  <c r="P23" i="13"/>
  <c r="M21" i="13"/>
  <c r="P21" i="13" s="1"/>
  <c r="M59" i="13"/>
  <c r="P59" i="13" s="1"/>
  <c r="P61" i="13"/>
  <c r="M356" i="13"/>
  <c r="P356" i="13" s="1"/>
  <c r="O176" i="12"/>
  <c r="L94" i="12"/>
  <c r="O94" i="12" s="1"/>
  <c r="L282" i="13"/>
  <c r="O282" i="13" s="1"/>
  <c r="O284" i="13"/>
  <c r="L333" i="13"/>
  <c r="O333" i="13" s="1"/>
  <c r="O335" i="13"/>
  <c r="M125" i="13"/>
  <c r="P125" i="13" s="1"/>
  <c r="L157" i="13"/>
  <c r="O157" i="13" s="1"/>
  <c r="L139" i="13"/>
  <c r="O139" i="13" s="1"/>
  <c r="M320" i="13"/>
  <c r="P320" i="13" s="1"/>
  <c r="P322" i="13"/>
  <c r="M157" i="13"/>
  <c r="P157" i="13" s="1"/>
  <c r="P159" i="13"/>
  <c r="I231" i="13"/>
  <c r="K242" i="13"/>
  <c r="P19" i="13"/>
  <c r="M139" i="9"/>
  <c r="P139" i="9" s="1"/>
  <c r="O159" i="11"/>
  <c r="O285" i="12"/>
  <c r="L266" i="12"/>
  <c r="O266" i="12" s="1"/>
  <c r="M72" i="12"/>
  <c r="P72" i="12" s="1"/>
  <c r="P282" i="12"/>
  <c r="O284" i="11"/>
  <c r="L303" i="12"/>
  <c r="O303" i="12" s="1"/>
  <c r="O188" i="12"/>
  <c r="I71" i="12"/>
  <c r="K71" i="12" s="1"/>
  <c r="I185" i="12"/>
  <c r="K185" i="12" s="1"/>
  <c r="P175" i="12"/>
  <c r="P141" i="12"/>
  <c r="O282" i="12"/>
  <c r="P139" i="12"/>
  <c r="P284" i="12"/>
  <c r="K83" i="11"/>
  <c r="O322" i="11"/>
  <c r="O284" i="12"/>
  <c r="M125" i="12"/>
  <c r="P125" i="12" s="1"/>
  <c r="O243" i="12"/>
  <c r="P61" i="10"/>
  <c r="I70" i="12"/>
  <c r="K70" i="12" s="1"/>
  <c r="M320" i="12"/>
  <c r="P320" i="12" s="1"/>
  <c r="L266" i="11"/>
  <c r="O266" i="11" s="1"/>
  <c r="K82" i="11"/>
  <c r="L320" i="12"/>
  <c r="O320" i="12" s="1"/>
  <c r="O322" i="12"/>
  <c r="O96" i="11"/>
  <c r="N186" i="12"/>
  <c r="O186" i="12" s="1"/>
  <c r="P46" i="12"/>
  <c r="O358" i="12"/>
  <c r="L356" i="12"/>
  <c r="O356" i="12" s="1"/>
  <c r="L72" i="12"/>
  <c r="O72" i="12" s="1"/>
  <c r="O74" i="12"/>
  <c r="O141" i="12"/>
  <c r="L139" i="12"/>
  <c r="O139" i="12" s="1"/>
  <c r="O175" i="12"/>
  <c r="L173" i="12"/>
  <c r="O173" i="12" s="1"/>
  <c r="M94" i="12"/>
  <c r="P94" i="12" s="1"/>
  <c r="P96" i="12"/>
  <c r="N20" i="12"/>
  <c r="N18" i="12" s="1"/>
  <c r="N21" i="12"/>
  <c r="O21" i="12" s="1"/>
  <c r="P305" i="12"/>
  <c r="M303" i="12"/>
  <c r="P303" i="12" s="1"/>
  <c r="M157" i="12"/>
  <c r="P157" i="12" s="1"/>
  <c r="P188" i="12"/>
  <c r="M186" i="12"/>
  <c r="P186" i="12" s="1"/>
  <c r="L44" i="12"/>
  <c r="O46" i="12"/>
  <c r="O379" i="12"/>
  <c r="L377" i="12"/>
  <c r="O377" i="12" s="1"/>
  <c r="O59" i="12"/>
  <c r="O61" i="11"/>
  <c r="L20" i="12"/>
  <c r="O23" i="12"/>
  <c r="M20" i="12"/>
  <c r="P23" i="12"/>
  <c r="M21" i="12"/>
  <c r="P268" i="12"/>
  <c r="M266" i="12"/>
  <c r="P266" i="12" s="1"/>
  <c r="O127" i="12"/>
  <c r="L125" i="12"/>
  <c r="O125" i="12" s="1"/>
  <c r="N173" i="1"/>
  <c r="O282" i="10"/>
  <c r="M24" i="12"/>
  <c r="P24" i="12" s="1"/>
  <c r="M44" i="12"/>
  <c r="M59" i="12"/>
  <c r="P59" i="12" s="1"/>
  <c r="P61" i="12"/>
  <c r="P176" i="12"/>
  <c r="P335" i="12"/>
  <c r="M333" i="12"/>
  <c r="P333" i="12" s="1"/>
  <c r="O159" i="12"/>
  <c r="L157" i="12"/>
  <c r="O157" i="12" s="1"/>
  <c r="L24" i="12"/>
  <c r="O24" i="12" s="1"/>
  <c r="O26" i="12"/>
  <c r="L333" i="12"/>
  <c r="O333" i="12" s="1"/>
  <c r="O335" i="12"/>
  <c r="P358" i="12"/>
  <c r="M356" i="12"/>
  <c r="P356" i="12" s="1"/>
  <c r="M377" i="12"/>
  <c r="P377" i="12" s="1"/>
  <c r="M377" i="11"/>
  <c r="P377" i="11" s="1"/>
  <c r="O358" i="11"/>
  <c r="P188" i="11"/>
  <c r="P173" i="10"/>
  <c r="L125" i="11"/>
  <c r="O125" i="11" s="1"/>
  <c r="P358" i="11"/>
  <c r="O46" i="11"/>
  <c r="O61" i="10"/>
  <c r="O188" i="11"/>
  <c r="P186" i="11"/>
  <c r="O62" i="9"/>
  <c r="O175" i="11"/>
  <c r="O305" i="11"/>
  <c r="O175" i="10"/>
  <c r="P141" i="11"/>
  <c r="L356" i="11"/>
  <c r="O356" i="11" s="1"/>
  <c r="P333" i="11"/>
  <c r="L186" i="11"/>
  <c r="O186" i="11" s="1"/>
  <c r="K82" i="10"/>
  <c r="N20" i="11"/>
  <c r="N18" i="11" s="1"/>
  <c r="N20" i="10"/>
  <c r="N18" i="10" s="1"/>
  <c r="L94" i="10"/>
  <c r="O94" i="10" s="1"/>
  <c r="N40" i="11"/>
  <c r="M266" i="11"/>
  <c r="P266" i="11" s="1"/>
  <c r="P176" i="10"/>
  <c r="M157" i="11"/>
  <c r="P157" i="11" s="1"/>
  <c r="P159" i="11"/>
  <c r="M24" i="11"/>
  <c r="P24" i="11" s="1"/>
  <c r="P26" i="11"/>
  <c r="L232" i="11"/>
  <c r="O243" i="11"/>
  <c r="M94" i="10"/>
  <c r="P94" i="10" s="1"/>
  <c r="L173" i="10"/>
  <c r="O173" i="10" s="1"/>
  <c r="M173" i="11"/>
  <c r="P173" i="11" s="1"/>
  <c r="P175" i="11"/>
  <c r="M59" i="11"/>
  <c r="P59" i="11" s="1"/>
  <c r="P61" i="11"/>
  <c r="P335" i="11"/>
  <c r="M320" i="11"/>
  <c r="P320" i="11" s="1"/>
  <c r="L157" i="11"/>
  <c r="O157" i="11" s="1"/>
  <c r="L72" i="11"/>
  <c r="O72" i="11" s="1"/>
  <c r="M125" i="11"/>
  <c r="P125" i="11" s="1"/>
  <c r="M139" i="11"/>
  <c r="P139" i="11" s="1"/>
  <c r="O141" i="11"/>
  <c r="L139" i="11"/>
  <c r="O139" i="11" s="1"/>
  <c r="L173" i="11"/>
  <c r="O173" i="11" s="1"/>
  <c r="L282" i="11"/>
  <c r="O282" i="11" s="1"/>
  <c r="L333" i="11"/>
  <c r="O333" i="11" s="1"/>
  <c r="O335" i="11"/>
  <c r="L44" i="11"/>
  <c r="M303" i="9"/>
  <c r="P303" i="9" s="1"/>
  <c r="M266" i="10"/>
  <c r="P266" i="10" s="1"/>
  <c r="L21" i="11"/>
  <c r="O21" i="11" s="1"/>
  <c r="O23" i="11"/>
  <c r="L20" i="11"/>
  <c r="M282" i="11"/>
  <c r="P282" i="11" s="1"/>
  <c r="P284" i="11"/>
  <c r="P359" i="11"/>
  <c r="O359" i="11"/>
  <c r="L303" i="11"/>
  <c r="O303" i="11" s="1"/>
  <c r="M303" i="11"/>
  <c r="P303" i="11" s="1"/>
  <c r="P305" i="11"/>
  <c r="K242" i="11"/>
  <c r="I231" i="11"/>
  <c r="L59" i="11"/>
  <c r="O59" i="11" s="1"/>
  <c r="P175" i="10"/>
  <c r="M44" i="11"/>
  <c r="P46" i="11"/>
  <c r="L24" i="11"/>
  <c r="O24" i="11" s="1"/>
  <c r="O26" i="11"/>
  <c r="P356" i="11"/>
  <c r="M94" i="11"/>
  <c r="P94" i="11" s="1"/>
  <c r="O59" i="10"/>
  <c r="M72" i="10"/>
  <c r="P72" i="10" s="1"/>
  <c r="M72" i="11"/>
  <c r="P72" i="11" s="1"/>
  <c r="P74" i="11"/>
  <c r="M20" i="11"/>
  <c r="P23" i="11"/>
  <c r="M21" i="11"/>
  <c r="P21" i="11" s="1"/>
  <c r="O336" i="11"/>
  <c r="M125" i="9"/>
  <c r="P125" i="9" s="1"/>
  <c r="O46" i="10"/>
  <c r="O176" i="10"/>
  <c r="O335" i="10"/>
  <c r="L94" i="9"/>
  <c r="O94" i="9" s="1"/>
  <c r="P336" i="10"/>
  <c r="P333" i="10"/>
  <c r="L125" i="10"/>
  <c r="O125" i="10" s="1"/>
  <c r="N40" i="10"/>
  <c r="M157" i="10"/>
  <c r="P157" i="10" s="1"/>
  <c r="L232" i="10"/>
  <c r="M320" i="10"/>
  <c r="P320" i="10" s="1"/>
  <c r="O243" i="10"/>
  <c r="M139" i="10"/>
  <c r="P139" i="10" s="1"/>
  <c r="O284" i="10"/>
  <c r="L320" i="9"/>
  <c r="O320" i="9" s="1"/>
  <c r="P335" i="10"/>
  <c r="L139" i="10"/>
  <c r="O139" i="10" s="1"/>
  <c r="L303" i="10"/>
  <c r="O303" i="10" s="1"/>
  <c r="O47" i="10"/>
  <c r="P284" i="10"/>
  <c r="O284" i="9"/>
  <c r="O47" i="9"/>
  <c r="O61" i="9"/>
  <c r="O186" i="10"/>
  <c r="N21" i="10"/>
  <c r="K83" i="10"/>
  <c r="P59" i="10"/>
  <c r="O59" i="9"/>
  <c r="O379" i="10"/>
  <c r="L377" i="10"/>
  <c r="O377" i="10" s="1"/>
  <c r="L21" i="10"/>
  <c r="L20" i="10"/>
  <c r="O23" i="10"/>
  <c r="O268" i="10"/>
  <c r="L266" i="10"/>
  <c r="O266" i="10" s="1"/>
  <c r="P188" i="10"/>
  <c r="M186" i="10"/>
  <c r="P186" i="10" s="1"/>
  <c r="O322" i="10"/>
  <c r="L320" i="10"/>
  <c r="O320" i="10" s="1"/>
  <c r="M24" i="10"/>
  <c r="P24" i="10" s="1"/>
  <c r="M303" i="10"/>
  <c r="P303" i="10" s="1"/>
  <c r="L157" i="10"/>
  <c r="O157" i="10" s="1"/>
  <c r="M44" i="10"/>
  <c r="P46" i="10"/>
  <c r="L72" i="10"/>
  <c r="O72" i="10" s="1"/>
  <c r="O358" i="10"/>
  <c r="L356" i="10"/>
  <c r="O356" i="10" s="1"/>
  <c r="L333" i="10"/>
  <c r="O333" i="10" s="1"/>
  <c r="M320" i="9"/>
  <c r="P320" i="9" s="1"/>
  <c r="O186" i="9"/>
  <c r="M20" i="10"/>
  <c r="P23" i="10"/>
  <c r="M21" i="10"/>
  <c r="L24" i="10"/>
  <c r="O24" i="10" s="1"/>
  <c r="O26" i="10"/>
  <c r="I231" i="10"/>
  <c r="K242" i="10"/>
  <c r="M125" i="10"/>
  <c r="P125" i="10" s="1"/>
  <c r="O336" i="10"/>
  <c r="O188" i="10"/>
  <c r="L44" i="10"/>
  <c r="P358" i="10"/>
  <c r="M356" i="10"/>
  <c r="P356" i="10" s="1"/>
  <c r="M377" i="10"/>
  <c r="P377" i="10" s="1"/>
  <c r="L139" i="9"/>
  <c r="O139" i="9" s="1"/>
  <c r="O175" i="8"/>
  <c r="O46" i="9"/>
  <c r="O175" i="9"/>
  <c r="P379" i="8"/>
  <c r="L125" i="9"/>
  <c r="O125" i="9" s="1"/>
  <c r="K82" i="9"/>
  <c r="L157" i="9"/>
  <c r="O157" i="9" s="1"/>
  <c r="M157" i="7"/>
  <c r="P157" i="7" s="1"/>
  <c r="O379" i="9"/>
  <c r="P335" i="9"/>
  <c r="P358" i="8"/>
  <c r="M24" i="9"/>
  <c r="P24" i="9" s="1"/>
  <c r="M320" i="8"/>
  <c r="P320" i="8" s="1"/>
  <c r="P186" i="9"/>
  <c r="P173" i="9"/>
  <c r="M333" i="9"/>
  <c r="L44" i="9"/>
  <c r="O44" i="9" s="1"/>
  <c r="L282" i="9"/>
  <c r="O282" i="9" s="1"/>
  <c r="P188" i="9"/>
  <c r="L72" i="9"/>
  <c r="O72" i="9" s="1"/>
  <c r="L266" i="9"/>
  <c r="O266" i="9" s="1"/>
  <c r="M377" i="9"/>
  <c r="P377" i="9" s="1"/>
  <c r="O188" i="9"/>
  <c r="L303" i="9"/>
  <c r="O303" i="9" s="1"/>
  <c r="P175" i="9"/>
  <c r="O23" i="9"/>
  <c r="L21" i="9"/>
  <c r="O21" i="9" s="1"/>
  <c r="L20" i="9"/>
  <c r="O173" i="8"/>
  <c r="L94" i="8"/>
  <c r="O94" i="8" s="1"/>
  <c r="P46" i="9"/>
  <c r="M44" i="9"/>
  <c r="M94" i="9"/>
  <c r="P94" i="9" s="1"/>
  <c r="L24" i="9"/>
  <c r="O24" i="9" s="1"/>
  <c r="O26" i="9"/>
  <c r="O335" i="9"/>
  <c r="N333" i="9"/>
  <c r="N40" i="9" s="1"/>
  <c r="P268" i="9"/>
  <c r="M266" i="9"/>
  <c r="P266" i="9" s="1"/>
  <c r="P74" i="9"/>
  <c r="M72" i="9"/>
  <c r="P72" i="9" s="1"/>
  <c r="P21" i="9"/>
  <c r="K242" i="9"/>
  <c r="I231" i="9"/>
  <c r="M157" i="9"/>
  <c r="P157" i="9" s="1"/>
  <c r="P159" i="9"/>
  <c r="O61" i="7"/>
  <c r="L320" i="8"/>
  <c r="O320" i="8" s="1"/>
  <c r="P173" i="8"/>
  <c r="L173" i="9"/>
  <c r="O173" i="9" s="1"/>
  <c r="L356" i="9"/>
  <c r="O356" i="9" s="1"/>
  <c r="O358" i="9"/>
  <c r="M20" i="9"/>
  <c r="M18" i="9" s="1"/>
  <c r="P23" i="9"/>
  <c r="M59" i="9"/>
  <c r="P59" i="9" s="1"/>
  <c r="P61" i="9"/>
  <c r="I71" i="9"/>
  <c r="K71" i="9" s="1"/>
  <c r="K83" i="9"/>
  <c r="P358" i="9"/>
  <c r="P284" i="9"/>
  <c r="M282" i="9"/>
  <c r="P282" i="9" s="1"/>
  <c r="M356" i="9"/>
  <c r="P356" i="9" s="1"/>
  <c r="P19" i="9"/>
  <c r="L232" i="9"/>
  <c r="O243" i="9"/>
  <c r="N20" i="9"/>
  <c r="N18" i="9" s="1"/>
  <c r="P175" i="8"/>
  <c r="L232" i="8"/>
  <c r="O176" i="8"/>
  <c r="P358" i="7"/>
  <c r="L303" i="7"/>
  <c r="O303" i="7" s="1"/>
  <c r="P72" i="8"/>
  <c r="O243" i="8"/>
  <c r="O139" i="8"/>
  <c r="O61" i="8"/>
  <c r="O268" i="8"/>
  <c r="L24" i="6"/>
  <c r="O24" i="6" s="1"/>
  <c r="P139" i="8"/>
  <c r="P176" i="8"/>
  <c r="I231" i="8"/>
  <c r="K231" i="8" s="1"/>
  <c r="O358" i="8"/>
  <c r="O59" i="8"/>
  <c r="O356" i="8"/>
  <c r="O305" i="8"/>
  <c r="O189" i="7"/>
  <c r="O284" i="7"/>
  <c r="P46" i="8"/>
  <c r="P62" i="8"/>
  <c r="M125" i="8"/>
  <c r="P125" i="8" s="1"/>
  <c r="M24" i="8"/>
  <c r="P24" i="8" s="1"/>
  <c r="K83" i="8"/>
  <c r="M125" i="7"/>
  <c r="P125" i="7" s="1"/>
  <c r="P335" i="8"/>
  <c r="O188" i="8"/>
  <c r="O141" i="8"/>
  <c r="P74" i="8"/>
  <c r="N20" i="8"/>
  <c r="N18" i="8" s="1"/>
  <c r="O333" i="8"/>
  <c r="O188" i="7"/>
  <c r="P282" i="8"/>
  <c r="M356" i="8"/>
  <c r="P356" i="8" s="1"/>
  <c r="I70" i="8"/>
  <c r="K70" i="8" s="1"/>
  <c r="P141" i="8"/>
  <c r="M266" i="8"/>
  <c r="P266" i="8" s="1"/>
  <c r="O46" i="8"/>
  <c r="L44" i="8"/>
  <c r="O127" i="8"/>
  <c r="L125" i="8"/>
  <c r="O125" i="8" s="1"/>
  <c r="M44" i="8"/>
  <c r="P61" i="1"/>
  <c r="O379" i="6"/>
  <c r="L377" i="8"/>
  <c r="O377" i="8" s="1"/>
  <c r="N186" i="8"/>
  <c r="O186" i="8" s="1"/>
  <c r="L266" i="7"/>
  <c r="O266" i="7" s="1"/>
  <c r="O74" i="8"/>
  <c r="L72" i="8"/>
  <c r="O72" i="8" s="1"/>
  <c r="M59" i="8"/>
  <c r="P59" i="8" s="1"/>
  <c r="P61" i="8"/>
  <c r="P188" i="8"/>
  <c r="M186" i="8"/>
  <c r="N21" i="8"/>
  <c r="O21" i="8" s="1"/>
  <c r="O284" i="8"/>
  <c r="O46" i="7"/>
  <c r="P96" i="8"/>
  <c r="M94" i="8"/>
  <c r="P94" i="8" s="1"/>
  <c r="P305" i="8"/>
  <c r="M303" i="8"/>
  <c r="P303" i="8" s="1"/>
  <c r="M20" i="8"/>
  <c r="P23" i="8"/>
  <c r="M21" i="8"/>
  <c r="O282" i="8"/>
  <c r="M333" i="8"/>
  <c r="P333" i="8" s="1"/>
  <c r="O305" i="6"/>
  <c r="I70" i="6"/>
  <c r="K70" i="6" s="1"/>
  <c r="O23" i="8"/>
  <c r="L20" i="8"/>
  <c r="O19" i="8"/>
  <c r="L303" i="8"/>
  <c r="O303" i="8" s="1"/>
  <c r="O159" i="8"/>
  <c r="L157" i="8"/>
  <c r="O157" i="8" s="1"/>
  <c r="P47" i="8"/>
  <c r="P284" i="8"/>
  <c r="O335" i="8"/>
  <c r="L24" i="8"/>
  <c r="O24" i="8" s="1"/>
  <c r="O26" i="8"/>
  <c r="M157" i="8"/>
  <c r="P157" i="8" s="1"/>
  <c r="O358" i="7"/>
  <c r="O142" i="7"/>
  <c r="O356" i="7"/>
  <c r="M303" i="7"/>
  <c r="P303" i="7" s="1"/>
  <c r="P284" i="7"/>
  <c r="N282" i="7"/>
  <c r="P282" i="7" s="1"/>
  <c r="N59" i="1"/>
  <c r="L59" i="7"/>
  <c r="O59" i="7" s="1"/>
  <c r="O96" i="7"/>
  <c r="L94" i="7"/>
  <c r="O94" i="7" s="1"/>
  <c r="M72" i="7"/>
  <c r="P72" i="7" s="1"/>
  <c r="I231" i="7"/>
  <c r="N20" i="6"/>
  <c r="N18" i="6" s="1"/>
  <c r="P175" i="7"/>
  <c r="L72" i="7"/>
  <c r="O72" i="7" s="1"/>
  <c r="K332" i="7"/>
  <c r="O359" i="7"/>
  <c r="O188" i="6"/>
  <c r="O175" i="7"/>
  <c r="N125" i="1"/>
  <c r="P141" i="7"/>
  <c r="L94" i="6"/>
  <c r="O94" i="6" s="1"/>
  <c r="P335" i="7"/>
  <c r="L320" i="7"/>
  <c r="O320" i="7" s="1"/>
  <c r="L186" i="7"/>
  <c r="O186" i="7" s="1"/>
  <c r="L173" i="7"/>
  <c r="O173" i="7" s="1"/>
  <c r="P46" i="7"/>
  <c r="O306" i="6"/>
  <c r="O62" i="7"/>
  <c r="N40" i="7"/>
  <c r="M173" i="7"/>
  <c r="P173" i="7" s="1"/>
  <c r="M94" i="7"/>
  <c r="P94" i="7" s="1"/>
  <c r="M266" i="7"/>
  <c r="P266" i="7" s="1"/>
  <c r="O356" i="5"/>
  <c r="M356" i="7"/>
  <c r="P356" i="7" s="1"/>
  <c r="O127" i="7"/>
  <c r="L125" i="7"/>
  <c r="O125" i="7" s="1"/>
  <c r="M20" i="7"/>
  <c r="P23" i="7"/>
  <c r="M21" i="7"/>
  <c r="M333" i="7"/>
  <c r="P333" i="7" s="1"/>
  <c r="O141" i="7"/>
  <c r="L139" i="7"/>
  <c r="O139" i="7" s="1"/>
  <c r="L157" i="7"/>
  <c r="O157" i="7" s="1"/>
  <c r="M186" i="7"/>
  <c r="P186" i="7" s="1"/>
  <c r="P188" i="7"/>
  <c r="O23" i="7"/>
  <c r="L20" i="7"/>
  <c r="P379" i="7"/>
  <c r="M377" i="7"/>
  <c r="P377" i="7" s="1"/>
  <c r="O243" i="7"/>
  <c r="L232" i="7"/>
  <c r="I70" i="7"/>
  <c r="K70" i="7" s="1"/>
  <c r="K82" i="7"/>
  <c r="O335" i="7"/>
  <c r="O173" i="5"/>
  <c r="M94" i="6"/>
  <c r="P94" i="6" s="1"/>
  <c r="N20" i="7"/>
  <c r="N18" i="7" s="1"/>
  <c r="M320" i="7"/>
  <c r="P320" i="7" s="1"/>
  <c r="P322" i="7"/>
  <c r="I71" i="7"/>
  <c r="K71" i="7" s="1"/>
  <c r="K83" i="7"/>
  <c r="O333" i="7"/>
  <c r="L44" i="7"/>
  <c r="M59" i="7"/>
  <c r="P59" i="7" s="1"/>
  <c r="P61" i="7"/>
  <c r="P139" i="7"/>
  <c r="N21" i="7"/>
  <c r="O21" i="7" s="1"/>
  <c r="L377" i="7"/>
  <c r="O377" i="7" s="1"/>
  <c r="M59" i="1"/>
  <c r="P44" i="7"/>
  <c r="P26" i="7"/>
  <c r="M24" i="7"/>
  <c r="P24" i="7" s="1"/>
  <c r="L24" i="7"/>
  <c r="O24" i="7" s="1"/>
  <c r="O26" i="7"/>
  <c r="P142" i="7"/>
  <c r="O61" i="6"/>
  <c r="O74" i="6"/>
  <c r="P61" i="6"/>
  <c r="P358" i="6"/>
  <c r="P303" i="6"/>
  <c r="O44" i="6"/>
  <c r="L320" i="6"/>
  <c r="O320" i="6" s="1"/>
  <c r="L186" i="6"/>
  <c r="O335" i="6"/>
  <c r="M266" i="6"/>
  <c r="P266" i="6" s="1"/>
  <c r="P188" i="6"/>
  <c r="N356" i="6"/>
  <c r="P356" i="6" s="1"/>
  <c r="L232" i="6"/>
  <c r="N186" i="6"/>
  <c r="P175" i="6"/>
  <c r="P141" i="6"/>
  <c r="P306" i="6"/>
  <c r="L282" i="6"/>
  <c r="O282" i="6" s="1"/>
  <c r="P305" i="6"/>
  <c r="M157" i="6"/>
  <c r="P157" i="6" s="1"/>
  <c r="I71" i="6"/>
  <c r="K71" i="6" s="1"/>
  <c r="K83" i="6"/>
  <c r="M125" i="6"/>
  <c r="P125" i="6" s="1"/>
  <c r="O141" i="6"/>
  <c r="L139" i="6"/>
  <c r="O139" i="6" s="1"/>
  <c r="L266" i="6"/>
  <c r="O266" i="6" s="1"/>
  <c r="N44" i="1"/>
  <c r="O358" i="5"/>
  <c r="L173" i="6"/>
  <c r="O173" i="6" s="1"/>
  <c r="O175" i="6"/>
  <c r="M282" i="6"/>
  <c r="P282" i="6" s="1"/>
  <c r="P284" i="6"/>
  <c r="P142" i="6"/>
  <c r="M44" i="6"/>
  <c r="O333" i="6"/>
  <c r="O358" i="6"/>
  <c r="L356" i="6"/>
  <c r="M320" i="6"/>
  <c r="P320" i="6" s="1"/>
  <c r="M72" i="6"/>
  <c r="P72" i="6" s="1"/>
  <c r="L59" i="6"/>
  <c r="L303" i="6"/>
  <c r="O303" i="6" s="1"/>
  <c r="O141" i="5"/>
  <c r="M20" i="6"/>
  <c r="P23" i="6"/>
  <c r="M21" i="6"/>
  <c r="O127" i="6"/>
  <c r="L125" i="6"/>
  <c r="O125" i="6" s="1"/>
  <c r="O46" i="6"/>
  <c r="M377" i="6"/>
  <c r="P377" i="6" s="1"/>
  <c r="N303" i="1"/>
  <c r="P141" i="5"/>
  <c r="O188" i="5"/>
  <c r="L125" i="5"/>
  <c r="O125" i="5" s="1"/>
  <c r="P335" i="5"/>
  <c r="L20" i="6"/>
  <c r="O23" i="6"/>
  <c r="M24" i="6"/>
  <c r="P24" i="6" s="1"/>
  <c r="P26" i="6"/>
  <c r="M59" i="6"/>
  <c r="P59" i="6" s="1"/>
  <c r="L157" i="6"/>
  <c r="O157" i="6" s="1"/>
  <c r="O159" i="6"/>
  <c r="I231" i="6"/>
  <c r="K242" i="6"/>
  <c r="P335" i="6"/>
  <c r="M333" i="6"/>
  <c r="P333" i="6" s="1"/>
  <c r="N21" i="6"/>
  <c r="O21" i="6" s="1"/>
  <c r="M173" i="6"/>
  <c r="P173" i="6" s="1"/>
  <c r="M139" i="6"/>
  <c r="P139" i="6" s="1"/>
  <c r="M94" i="4"/>
  <c r="P94" i="4" s="1"/>
  <c r="M125" i="5"/>
  <c r="P125" i="5" s="1"/>
  <c r="O214" i="1"/>
  <c r="L125" i="3"/>
  <c r="O125" i="3" s="1"/>
  <c r="L320" i="3"/>
  <c r="O320" i="3" s="1"/>
  <c r="N20" i="5"/>
  <c r="N18" i="5" s="1"/>
  <c r="O142" i="5"/>
  <c r="L157" i="4"/>
  <c r="O157" i="4" s="1"/>
  <c r="O159" i="5"/>
  <c r="O379" i="4"/>
  <c r="O189" i="5"/>
  <c r="N20" i="4"/>
  <c r="P72" i="4"/>
  <c r="O175" i="5"/>
  <c r="O61" i="5"/>
  <c r="O305" i="3"/>
  <c r="P284" i="4"/>
  <c r="L94" i="4"/>
  <c r="O94" i="4" s="1"/>
  <c r="L94" i="5"/>
  <c r="O94" i="5" s="1"/>
  <c r="L157" i="5"/>
  <c r="O157" i="5" s="1"/>
  <c r="O46" i="5"/>
  <c r="O284" i="5"/>
  <c r="P305" i="5"/>
  <c r="L139" i="5"/>
  <c r="O139" i="5" s="1"/>
  <c r="M125" i="4"/>
  <c r="P125" i="4" s="1"/>
  <c r="O189" i="4"/>
  <c r="O46" i="4"/>
  <c r="O335" i="5"/>
  <c r="L186" i="5"/>
  <c r="O186" i="5" s="1"/>
  <c r="M303" i="5"/>
  <c r="P303" i="5" s="1"/>
  <c r="N333" i="5"/>
  <c r="P333" i="5" s="1"/>
  <c r="O44" i="5"/>
  <c r="L377" i="5"/>
  <c r="O377" i="5" s="1"/>
  <c r="O379" i="5"/>
  <c r="M20" i="5"/>
  <c r="P23" i="5"/>
  <c r="M21" i="5"/>
  <c r="I231" i="5"/>
  <c r="K242" i="5"/>
  <c r="M186" i="5"/>
  <c r="P186" i="5" s="1"/>
  <c r="P188" i="5"/>
  <c r="O305" i="5"/>
  <c r="L303" i="5"/>
  <c r="O303" i="5" s="1"/>
  <c r="M44" i="5"/>
  <c r="P46" i="5"/>
  <c r="L24" i="5"/>
  <c r="O24" i="5" s="1"/>
  <c r="O26" i="5"/>
  <c r="P141" i="4"/>
  <c r="M320" i="5"/>
  <c r="P320" i="5" s="1"/>
  <c r="P26" i="5"/>
  <c r="M24" i="5"/>
  <c r="P24" i="5" s="1"/>
  <c r="L266" i="5"/>
  <c r="O266" i="5" s="1"/>
  <c r="M94" i="5"/>
  <c r="P94" i="5" s="1"/>
  <c r="N21" i="5"/>
  <c r="M282" i="5"/>
  <c r="P282" i="5" s="1"/>
  <c r="P284" i="5"/>
  <c r="L72" i="5"/>
  <c r="O72" i="5" s="1"/>
  <c r="O322" i="5"/>
  <c r="L320" i="5"/>
  <c r="O320" i="5" s="1"/>
  <c r="O243" i="5"/>
  <c r="L232" i="5"/>
  <c r="O336" i="4"/>
  <c r="M72" i="5"/>
  <c r="P72" i="5" s="1"/>
  <c r="P74" i="5"/>
  <c r="L21" i="5"/>
  <c r="O23" i="5"/>
  <c r="L20" i="5"/>
  <c r="M139" i="5"/>
  <c r="P139" i="5" s="1"/>
  <c r="I71" i="5"/>
  <c r="K71" i="5" s="1"/>
  <c r="K83" i="5"/>
  <c r="I70" i="5"/>
  <c r="K70" i="5" s="1"/>
  <c r="K82" i="5"/>
  <c r="M157" i="5"/>
  <c r="P157" i="5" s="1"/>
  <c r="P159" i="5"/>
  <c r="L59" i="5"/>
  <c r="O59" i="5" s="1"/>
  <c r="P142" i="5"/>
  <c r="O188" i="4"/>
  <c r="M173" i="5"/>
  <c r="P173" i="5" s="1"/>
  <c r="P175" i="5"/>
  <c r="M266" i="5"/>
  <c r="P266" i="5" s="1"/>
  <c r="P268" i="5"/>
  <c r="M356" i="5"/>
  <c r="P356" i="5" s="1"/>
  <c r="P358" i="5"/>
  <c r="M59" i="5"/>
  <c r="P59" i="5" s="1"/>
  <c r="P61" i="5"/>
  <c r="L282" i="5"/>
  <c r="O282" i="5" s="1"/>
  <c r="M266" i="4"/>
  <c r="P266" i="4" s="1"/>
  <c r="P175" i="4"/>
  <c r="L44" i="4"/>
  <c r="O44" i="4" s="1"/>
  <c r="P335" i="4"/>
  <c r="P175" i="3"/>
  <c r="P46" i="4"/>
  <c r="P285" i="4"/>
  <c r="O159" i="3"/>
  <c r="O335" i="4"/>
  <c r="M139" i="4"/>
  <c r="P139" i="4" s="1"/>
  <c r="P305" i="4"/>
  <c r="L266" i="4"/>
  <c r="O266" i="4" s="1"/>
  <c r="P333" i="4"/>
  <c r="O285" i="4"/>
  <c r="N266" i="1"/>
  <c r="P358" i="4"/>
  <c r="O305" i="4"/>
  <c r="P59" i="4"/>
  <c r="O74" i="4"/>
  <c r="L72" i="4"/>
  <c r="O72" i="4" s="1"/>
  <c r="M320" i="3"/>
  <c r="P320" i="3" s="1"/>
  <c r="P61" i="4"/>
  <c r="M44" i="4"/>
  <c r="P44" i="4" s="1"/>
  <c r="O173" i="4"/>
  <c r="L125" i="4"/>
  <c r="O125" i="4" s="1"/>
  <c r="L303" i="4"/>
  <c r="O61" i="4"/>
  <c r="O186" i="4"/>
  <c r="N303" i="4"/>
  <c r="P303" i="4" s="1"/>
  <c r="O59" i="4"/>
  <c r="O284" i="3"/>
  <c r="N21" i="4"/>
  <c r="O21" i="4" s="1"/>
  <c r="K332" i="4"/>
  <c r="L320" i="4"/>
  <c r="O320" i="4" s="1"/>
  <c r="O142" i="4"/>
  <c r="I70" i="4"/>
  <c r="K70" i="4" s="1"/>
  <c r="K82" i="4"/>
  <c r="M20" i="4"/>
  <c r="P23" i="4"/>
  <c r="M21" i="4"/>
  <c r="P335" i="3"/>
  <c r="P47" i="4"/>
  <c r="N282" i="4"/>
  <c r="P282" i="4" s="1"/>
  <c r="P74" i="4"/>
  <c r="P188" i="4"/>
  <c r="P322" i="4"/>
  <c r="M320" i="4"/>
  <c r="P320" i="4" s="1"/>
  <c r="L333" i="4"/>
  <c r="O333" i="4" s="1"/>
  <c r="P356" i="4"/>
  <c r="O23" i="4"/>
  <c r="L20" i="4"/>
  <c r="M173" i="4"/>
  <c r="P173" i="4" s="1"/>
  <c r="P379" i="4"/>
  <c r="M377" i="4"/>
  <c r="P377" i="4" s="1"/>
  <c r="O141" i="4"/>
  <c r="L139" i="4"/>
  <c r="O139" i="4" s="1"/>
  <c r="O284" i="4"/>
  <c r="P358" i="3"/>
  <c r="L266" i="3"/>
  <c r="O266" i="3" s="1"/>
  <c r="I185" i="4"/>
  <c r="K185" i="4" s="1"/>
  <c r="M24" i="4"/>
  <c r="P24" i="4" s="1"/>
  <c r="P26" i="4"/>
  <c r="M157" i="4"/>
  <c r="P157" i="4" s="1"/>
  <c r="O243" i="4"/>
  <c r="L232" i="4"/>
  <c r="O175" i="4"/>
  <c r="L24" i="4"/>
  <c r="O24" i="4" s="1"/>
  <c r="M320" i="2"/>
  <c r="P320" i="2" s="1"/>
  <c r="O188" i="3"/>
  <c r="N18" i="4"/>
  <c r="P186" i="4"/>
  <c r="L356" i="4"/>
  <c r="O356" i="4" s="1"/>
  <c r="O358" i="4"/>
  <c r="I71" i="4"/>
  <c r="K71" i="4" s="1"/>
  <c r="K83" i="4"/>
  <c r="P175" i="2"/>
  <c r="O305" i="1"/>
  <c r="P284" i="3"/>
  <c r="O74" i="3"/>
  <c r="M173" i="1"/>
  <c r="O26" i="3"/>
  <c r="I231" i="3"/>
  <c r="K231" i="3" s="1"/>
  <c r="M72" i="3"/>
  <c r="P72" i="3" s="1"/>
  <c r="K82" i="3"/>
  <c r="M282" i="3"/>
  <c r="P282" i="3" s="1"/>
  <c r="L157" i="2"/>
  <c r="O157" i="2" s="1"/>
  <c r="O175" i="2"/>
  <c r="O62" i="3"/>
  <c r="N20" i="3"/>
  <c r="N18" i="3" s="1"/>
  <c r="M125" i="3"/>
  <c r="P125" i="3" s="1"/>
  <c r="O188" i="2"/>
  <c r="L377" i="3"/>
  <c r="O377" i="3" s="1"/>
  <c r="L72" i="3"/>
  <c r="O72" i="3" s="1"/>
  <c r="L157" i="3"/>
  <c r="O157" i="3" s="1"/>
  <c r="N186" i="3"/>
  <c r="O186" i="3" s="1"/>
  <c r="M24" i="3"/>
  <c r="P24" i="3" s="1"/>
  <c r="P282" i="2"/>
  <c r="O303" i="3"/>
  <c r="O61" i="3"/>
  <c r="N59" i="3"/>
  <c r="O59" i="3" s="1"/>
  <c r="N333" i="3"/>
  <c r="P333" i="3" s="1"/>
  <c r="O46" i="3"/>
  <c r="L44" i="3"/>
  <c r="P19" i="3"/>
  <c r="P46" i="3"/>
  <c r="O175" i="3"/>
  <c r="L173" i="3"/>
  <c r="O173" i="3" s="1"/>
  <c r="P44" i="3"/>
  <c r="M303" i="3"/>
  <c r="P303" i="3" s="1"/>
  <c r="P305" i="3"/>
  <c r="P358" i="1"/>
  <c r="O62" i="1"/>
  <c r="I185" i="2"/>
  <c r="K185" i="2" s="1"/>
  <c r="O336" i="2"/>
  <c r="P336" i="2"/>
  <c r="P139" i="3"/>
  <c r="L139" i="3"/>
  <c r="O139" i="3" s="1"/>
  <c r="O141" i="3"/>
  <c r="P61" i="3"/>
  <c r="M59" i="3"/>
  <c r="L20" i="3"/>
  <c r="O23" i="3"/>
  <c r="M186" i="3"/>
  <c r="P188" i="3"/>
  <c r="P96" i="3"/>
  <c r="M94" i="3"/>
  <c r="P94" i="3" s="1"/>
  <c r="P141" i="3"/>
  <c r="P268" i="3"/>
  <c r="M266" i="3"/>
  <c r="P266" i="3" s="1"/>
  <c r="N356" i="3"/>
  <c r="P356" i="3" s="1"/>
  <c r="M377" i="3"/>
  <c r="P377" i="3" s="1"/>
  <c r="O358" i="3"/>
  <c r="L356" i="3"/>
  <c r="M157" i="2"/>
  <c r="P157" i="2" s="1"/>
  <c r="M157" i="3"/>
  <c r="P157" i="3" s="1"/>
  <c r="O335" i="3"/>
  <c r="L333" i="3"/>
  <c r="O243" i="3"/>
  <c r="L232" i="3"/>
  <c r="M173" i="3"/>
  <c r="P173" i="3" s="1"/>
  <c r="M20" i="3"/>
  <c r="P23" i="3"/>
  <c r="M21" i="3"/>
  <c r="P96" i="1"/>
  <c r="P62" i="1"/>
  <c r="O21" i="2"/>
  <c r="N21" i="3"/>
  <c r="O21" i="3" s="1"/>
  <c r="O96" i="3"/>
  <c r="L94" i="3"/>
  <c r="O94" i="3" s="1"/>
  <c r="I71" i="3"/>
  <c r="K71" i="3" s="1"/>
  <c r="K83" i="3"/>
  <c r="L282" i="3"/>
  <c r="O282" i="3" s="1"/>
  <c r="O306" i="1"/>
  <c r="L377" i="2"/>
  <c r="O377" i="2" s="1"/>
  <c r="I169" i="1"/>
  <c r="K169" i="1" s="1"/>
  <c r="P176" i="2"/>
  <c r="L94" i="2"/>
  <c r="O94" i="2" s="1"/>
  <c r="P358" i="2"/>
  <c r="P284" i="2"/>
  <c r="O282" i="2"/>
  <c r="O203" i="1"/>
  <c r="L266" i="2"/>
  <c r="O266" i="2" s="1"/>
  <c r="N173" i="2"/>
  <c r="O173" i="2" s="1"/>
  <c r="M139" i="2"/>
  <c r="P139" i="2" s="1"/>
  <c r="K83" i="2"/>
  <c r="O305" i="2"/>
  <c r="O97" i="1"/>
  <c r="P142" i="1"/>
  <c r="P97" i="1"/>
  <c r="O284" i="2"/>
  <c r="O323" i="1"/>
  <c r="M94" i="1"/>
  <c r="O176" i="2"/>
  <c r="N186" i="2"/>
  <c r="O186" i="2" s="1"/>
  <c r="O232" i="1"/>
  <c r="O175" i="1"/>
  <c r="P127" i="2"/>
  <c r="L320" i="2"/>
  <c r="O320" i="2" s="1"/>
  <c r="P335" i="2"/>
  <c r="O61" i="2"/>
  <c r="N356" i="1"/>
  <c r="O176" i="1"/>
  <c r="O358" i="1"/>
  <c r="O188" i="1"/>
  <c r="O127" i="2"/>
  <c r="O141" i="2"/>
  <c r="O59" i="2"/>
  <c r="M333" i="2"/>
  <c r="P333" i="2" s="1"/>
  <c r="O189" i="1"/>
  <c r="M173" i="2"/>
  <c r="P60" i="1"/>
  <c r="P305" i="1"/>
  <c r="P322" i="1"/>
  <c r="O285" i="1"/>
  <c r="P285" i="1"/>
  <c r="P188" i="2"/>
  <c r="M186" i="2"/>
  <c r="P96" i="2"/>
  <c r="M94" i="2"/>
  <c r="P94" i="2" s="1"/>
  <c r="O160" i="1"/>
  <c r="N282" i="1"/>
  <c r="P174" i="1"/>
  <c r="M20" i="2"/>
  <c r="P23" i="2"/>
  <c r="M21" i="2"/>
  <c r="P21" i="2" s="1"/>
  <c r="M266" i="2"/>
  <c r="P266" i="2" s="1"/>
  <c r="P268" i="2"/>
  <c r="O359" i="2"/>
  <c r="O285" i="2"/>
  <c r="O358" i="2"/>
  <c r="L356" i="2"/>
  <c r="O356" i="2" s="1"/>
  <c r="M377" i="2"/>
  <c r="P377" i="2" s="1"/>
  <c r="P379" i="2"/>
  <c r="P285" i="2"/>
  <c r="P306" i="1"/>
  <c r="O96" i="1"/>
  <c r="L139" i="1"/>
  <c r="O139" i="1" s="1"/>
  <c r="P46" i="2"/>
  <c r="N44" i="2"/>
  <c r="I70" i="2"/>
  <c r="K70" i="2" s="1"/>
  <c r="K82" i="2"/>
  <c r="P359" i="2"/>
  <c r="O303" i="2"/>
  <c r="L44" i="2"/>
  <c r="O46" i="2"/>
  <c r="L24" i="2"/>
  <c r="O24" i="2" s="1"/>
  <c r="O26" i="2"/>
  <c r="O336" i="1"/>
  <c r="P284" i="1"/>
  <c r="N94" i="1"/>
  <c r="P359" i="1"/>
  <c r="O47" i="1"/>
  <c r="P189" i="1"/>
  <c r="P175" i="1"/>
  <c r="L20" i="2"/>
  <c r="O23" i="2"/>
  <c r="N20" i="2"/>
  <c r="N18" i="2" s="1"/>
  <c r="P61" i="2"/>
  <c r="M59" i="2"/>
  <c r="P59" i="2" s="1"/>
  <c r="M72" i="2"/>
  <c r="P72" i="2" s="1"/>
  <c r="O335" i="2"/>
  <c r="L333" i="2"/>
  <c r="O333" i="2" s="1"/>
  <c r="M356" i="2"/>
  <c r="P356" i="2" s="1"/>
  <c r="M24" i="2"/>
  <c r="P24" i="2" s="1"/>
  <c r="O74" i="2"/>
  <c r="L72" i="2"/>
  <c r="O72" i="2" s="1"/>
  <c r="M303" i="2"/>
  <c r="P303" i="2" s="1"/>
  <c r="P305" i="2"/>
  <c r="O243" i="2"/>
  <c r="L232" i="2"/>
  <c r="M333" i="1"/>
  <c r="P333" i="1" s="1"/>
  <c r="N186" i="1"/>
  <c r="O140" i="1"/>
  <c r="M24" i="1"/>
  <c r="P24" i="1" s="1"/>
  <c r="M20" i="1"/>
  <c r="P176" i="1"/>
  <c r="P336" i="1"/>
  <c r="N24" i="1"/>
  <c r="O222" i="1"/>
  <c r="L27" i="1"/>
  <c r="O27" i="1" s="1"/>
  <c r="P46" i="1"/>
  <c r="P47" i="1"/>
  <c r="K83" i="1"/>
  <c r="I71" i="1"/>
  <c r="K71" i="1" s="1"/>
  <c r="O74" i="1"/>
  <c r="L320" i="1"/>
  <c r="O320" i="1" s="1"/>
  <c r="N72" i="1"/>
  <c r="O75" i="1"/>
  <c r="L94" i="1"/>
  <c r="M21" i="1"/>
  <c r="P22" i="1"/>
  <c r="M72" i="1"/>
  <c r="P73" i="1"/>
  <c r="L125" i="1"/>
  <c r="O125" i="1" s="1"/>
  <c r="O126" i="1"/>
  <c r="O359" i="1"/>
  <c r="M356" i="1"/>
  <c r="L303" i="1"/>
  <c r="O304" i="1"/>
  <c r="L186" i="1"/>
  <c r="O187" i="1"/>
  <c r="M27" i="1"/>
  <c r="P27" i="1" s="1"/>
  <c r="P28" i="1"/>
  <c r="P268" i="1"/>
  <c r="M266" i="1"/>
  <c r="P266" i="1" s="1"/>
  <c r="I70" i="1"/>
  <c r="K70" i="1" s="1"/>
  <c r="K82" i="1"/>
  <c r="L44" i="1"/>
  <c r="O46" i="1"/>
  <c r="O357" i="1"/>
  <c r="L356" i="1"/>
  <c r="P283" i="1"/>
  <c r="M282" i="1"/>
  <c r="O159" i="1"/>
  <c r="L157" i="1"/>
  <c r="O157" i="1" s="1"/>
  <c r="P323" i="1"/>
  <c r="P126" i="1"/>
  <c r="M125" i="1"/>
  <c r="P125" i="1" s="1"/>
  <c r="M377" i="1"/>
  <c r="P377" i="1" s="1"/>
  <c r="P378" i="1"/>
  <c r="P304" i="1"/>
  <c r="M303" i="1"/>
  <c r="M157" i="1"/>
  <c r="P157" i="1" s="1"/>
  <c r="P158" i="1"/>
  <c r="N21" i="1"/>
  <c r="P23" i="1"/>
  <c r="N20" i="1"/>
  <c r="L282" i="1"/>
  <c r="O283" i="1"/>
  <c r="N19" i="1"/>
  <c r="P75" i="1"/>
  <c r="L266" i="1"/>
  <c r="O266" i="1" s="1"/>
  <c r="P45" i="1"/>
  <c r="M44" i="1"/>
  <c r="O334" i="1"/>
  <c r="L333" i="1"/>
  <c r="O333" i="1" s="1"/>
  <c r="M186" i="1"/>
  <c r="P188" i="1"/>
  <c r="O61" i="1"/>
  <c r="L59" i="1"/>
  <c r="L21" i="1"/>
  <c r="L19" i="1"/>
  <c r="O22" i="1"/>
  <c r="O73" i="1"/>
  <c r="L72" i="1"/>
  <c r="M320" i="1"/>
  <c r="P320" i="1" s="1"/>
  <c r="P321" i="1"/>
  <c r="O25" i="1"/>
  <c r="L24" i="1"/>
  <c r="O24" i="1" s="1"/>
  <c r="O23" i="1"/>
  <c r="L20" i="1"/>
  <c r="P140" i="1"/>
  <c r="M139" i="1"/>
  <c r="P139" i="1" s="1"/>
  <c r="O142" i="1"/>
  <c r="O174" i="1"/>
  <c r="L173" i="1"/>
  <c r="L377" i="1"/>
  <c r="O377" i="1" s="1"/>
  <c r="M19" i="1"/>
  <c r="O21" i="10" l="1"/>
  <c r="P303" i="17"/>
  <c r="P173" i="17"/>
  <c r="P186" i="17"/>
  <c r="P20" i="18"/>
  <c r="O173" i="17"/>
  <c r="N40" i="17"/>
  <c r="M18" i="18"/>
  <c r="P18" i="18" s="1"/>
  <c r="O139" i="18"/>
  <c r="O44" i="18"/>
  <c r="L40" i="18"/>
  <c r="O20" i="18"/>
  <c r="L18" i="18"/>
  <c r="O18" i="18" s="1"/>
  <c r="P44" i="18"/>
  <c r="M40" i="18"/>
  <c r="N40" i="14"/>
  <c r="P139" i="14"/>
  <c r="K231" i="18"/>
  <c r="I185" i="18"/>
  <c r="K185" i="18" s="1"/>
  <c r="P186" i="18"/>
  <c r="P303" i="18"/>
  <c r="O21" i="18"/>
  <c r="P21" i="18"/>
  <c r="N40" i="18"/>
  <c r="O186" i="6"/>
  <c r="K231" i="17"/>
  <c r="I185" i="17"/>
  <c r="K185" i="17" s="1"/>
  <c r="P44" i="17"/>
  <c r="M40" i="17"/>
  <c r="P20" i="17"/>
  <c r="M18" i="17"/>
  <c r="P18" i="17" s="1"/>
  <c r="O20" i="17"/>
  <c r="L18" i="17"/>
  <c r="O18" i="17" s="1"/>
  <c r="L40" i="17"/>
  <c r="N40" i="16"/>
  <c r="P333" i="16"/>
  <c r="P186" i="16"/>
  <c r="O21" i="16"/>
  <c r="P20" i="16"/>
  <c r="M18" i="16"/>
  <c r="P18" i="16" s="1"/>
  <c r="P333" i="15"/>
  <c r="L40" i="16"/>
  <c r="P21" i="16"/>
  <c r="M40" i="16"/>
  <c r="K231" i="16"/>
  <c r="I185" i="16"/>
  <c r="K185" i="16" s="1"/>
  <c r="O20" i="16"/>
  <c r="L18" i="16"/>
  <c r="O18" i="16" s="1"/>
  <c r="O21" i="15"/>
  <c r="L40" i="15"/>
  <c r="N40" i="15"/>
  <c r="P356" i="15"/>
  <c r="P186" i="15"/>
  <c r="P18" i="15"/>
  <c r="O186" i="15"/>
  <c r="M40" i="15"/>
  <c r="P282" i="15"/>
  <c r="O20" i="15"/>
  <c r="L18" i="15"/>
  <c r="O18" i="15" s="1"/>
  <c r="P20" i="15"/>
  <c r="K231" i="15"/>
  <c r="I185" i="15"/>
  <c r="K185" i="15" s="1"/>
  <c r="P21" i="14"/>
  <c r="O173" i="1"/>
  <c r="P20" i="14"/>
  <c r="M18" i="14"/>
  <c r="P18" i="14" s="1"/>
  <c r="P44" i="14"/>
  <c r="M40" i="14"/>
  <c r="O20" i="14"/>
  <c r="L18" i="14"/>
  <c r="O18" i="14" s="1"/>
  <c r="L40" i="14"/>
  <c r="P173" i="1"/>
  <c r="P20" i="13"/>
  <c r="M18" i="13"/>
  <c r="P18" i="13" s="1"/>
  <c r="O44" i="13"/>
  <c r="L40" i="13"/>
  <c r="O40" i="13" s="1"/>
  <c r="P44" i="13"/>
  <c r="M40" i="13"/>
  <c r="P40" i="13" s="1"/>
  <c r="K231" i="13"/>
  <c r="I185" i="13"/>
  <c r="K185" i="13" s="1"/>
  <c r="O20" i="13"/>
  <c r="L18" i="13"/>
  <c r="O18" i="13" s="1"/>
  <c r="P21" i="12"/>
  <c r="N40" i="12"/>
  <c r="P20" i="12"/>
  <c r="M18" i="12"/>
  <c r="P18" i="12" s="1"/>
  <c r="P44" i="12"/>
  <c r="M40" i="12"/>
  <c r="O20" i="12"/>
  <c r="L18" i="12"/>
  <c r="O18" i="12" s="1"/>
  <c r="O44" i="12"/>
  <c r="L40" i="12"/>
  <c r="P20" i="11"/>
  <c r="M18" i="11"/>
  <c r="P18" i="11" s="1"/>
  <c r="K231" i="11"/>
  <c r="I185" i="11"/>
  <c r="K185" i="11" s="1"/>
  <c r="O44" i="11"/>
  <c r="L40" i="11"/>
  <c r="O40" i="11" s="1"/>
  <c r="P44" i="11"/>
  <c r="M40" i="11"/>
  <c r="P40" i="11" s="1"/>
  <c r="O20" i="11"/>
  <c r="L18" i="11"/>
  <c r="O18" i="11" s="1"/>
  <c r="P21" i="10"/>
  <c r="P20" i="10"/>
  <c r="M18" i="10"/>
  <c r="P18" i="10" s="1"/>
  <c r="K231" i="10"/>
  <c r="I185" i="10"/>
  <c r="K185" i="10" s="1"/>
  <c r="O20" i="10"/>
  <c r="L18" i="10"/>
  <c r="O18" i="10" s="1"/>
  <c r="O44" i="10"/>
  <c r="L40" i="10"/>
  <c r="O40" i="10" s="1"/>
  <c r="P44" i="10"/>
  <c r="M40" i="10"/>
  <c r="P40" i="10" s="1"/>
  <c r="P18" i="9"/>
  <c r="L40" i="9"/>
  <c r="O40" i="9" s="1"/>
  <c r="O20" i="9"/>
  <c r="L18" i="9"/>
  <c r="O18" i="9" s="1"/>
  <c r="K231" i="9"/>
  <c r="I185" i="9"/>
  <c r="K185" i="9" s="1"/>
  <c r="P44" i="9"/>
  <c r="M40" i="9"/>
  <c r="P40" i="9" s="1"/>
  <c r="I185" i="8"/>
  <c r="K185" i="8" s="1"/>
  <c r="P20" i="9"/>
  <c r="O333" i="9"/>
  <c r="P333" i="9"/>
  <c r="O59" i="1"/>
  <c r="O20" i="8"/>
  <c r="P186" i="8"/>
  <c r="N40" i="8"/>
  <c r="O282" i="7"/>
  <c r="L18" i="8"/>
  <c r="O18" i="8" s="1"/>
  <c r="P21" i="8"/>
  <c r="P44" i="8"/>
  <c r="M40" i="8"/>
  <c r="O282" i="1"/>
  <c r="P20" i="8"/>
  <c r="M18" i="8"/>
  <c r="P18" i="8" s="1"/>
  <c r="O44" i="8"/>
  <c r="L40" i="8"/>
  <c r="P59" i="1"/>
  <c r="K231" i="7"/>
  <c r="I185" i="7"/>
  <c r="K185" i="7" s="1"/>
  <c r="P21" i="7"/>
  <c r="M40" i="7"/>
  <c r="P40" i="7" s="1"/>
  <c r="P20" i="7"/>
  <c r="M18" i="7"/>
  <c r="P18" i="7" s="1"/>
  <c r="O20" i="7"/>
  <c r="L18" i="7"/>
  <c r="O18" i="7" s="1"/>
  <c r="O44" i="7"/>
  <c r="L40" i="7"/>
  <c r="O40" i="7" s="1"/>
  <c r="P303" i="1"/>
  <c r="O303" i="1"/>
  <c r="N40" i="6"/>
  <c r="P186" i="6"/>
  <c r="O356" i="6"/>
  <c r="P21" i="6"/>
  <c r="K231" i="6"/>
  <c r="I185" i="6"/>
  <c r="K185" i="6" s="1"/>
  <c r="P44" i="6"/>
  <c r="M40" i="6"/>
  <c r="O20" i="6"/>
  <c r="L18" i="6"/>
  <c r="O18" i="6" s="1"/>
  <c r="O59" i="6"/>
  <c r="L40" i="6"/>
  <c r="P20" i="6"/>
  <c r="M18" i="6"/>
  <c r="P18" i="6" s="1"/>
  <c r="P21" i="4"/>
  <c r="N40" i="5"/>
  <c r="O333" i="5"/>
  <c r="O21" i="5"/>
  <c r="P20" i="5"/>
  <c r="M18" i="5"/>
  <c r="P18" i="5" s="1"/>
  <c r="P44" i="5"/>
  <c r="M40" i="5"/>
  <c r="K231" i="5"/>
  <c r="I185" i="5"/>
  <c r="K185" i="5" s="1"/>
  <c r="L40" i="5"/>
  <c r="O20" i="5"/>
  <c r="L18" i="5"/>
  <c r="O18" i="5" s="1"/>
  <c r="P21" i="5"/>
  <c r="O303" i="4"/>
  <c r="P20" i="3"/>
  <c r="N40" i="4"/>
  <c r="L40" i="4"/>
  <c r="P20" i="4"/>
  <c r="M18" i="4"/>
  <c r="P18" i="4" s="1"/>
  <c r="I185" i="3"/>
  <c r="K185" i="3" s="1"/>
  <c r="O20" i="4"/>
  <c r="L18" i="4"/>
  <c r="O18" i="4" s="1"/>
  <c r="O282" i="4"/>
  <c r="P186" i="3"/>
  <c r="M40" i="4"/>
  <c r="O333" i="3"/>
  <c r="O186" i="1"/>
  <c r="P59" i="3"/>
  <c r="N40" i="3"/>
  <c r="O21" i="1"/>
  <c r="O356" i="1"/>
  <c r="M18" i="3"/>
  <c r="P18" i="3" s="1"/>
  <c r="P21" i="3"/>
  <c r="O356" i="3"/>
  <c r="O20" i="3"/>
  <c r="L18" i="3"/>
  <c r="O18" i="3" s="1"/>
  <c r="O44" i="3"/>
  <c r="L40" i="3"/>
  <c r="M40" i="3"/>
  <c r="P173" i="2"/>
  <c r="P282" i="1"/>
  <c r="O94" i="1"/>
  <c r="P186" i="2"/>
  <c r="P356" i="1"/>
  <c r="N40" i="2"/>
  <c r="P94" i="1"/>
  <c r="O72" i="1"/>
  <c r="N40" i="1"/>
  <c r="M40" i="2"/>
  <c r="O20" i="2"/>
  <c r="L18" i="2"/>
  <c r="O18" i="2" s="1"/>
  <c r="O44" i="2"/>
  <c r="L40" i="2"/>
  <c r="P44" i="2"/>
  <c r="P20" i="2"/>
  <c r="M18" i="2"/>
  <c r="P18" i="2" s="1"/>
  <c r="P20" i="1"/>
  <c r="P186" i="1"/>
  <c r="P21" i="1"/>
  <c r="P72" i="1"/>
  <c r="N18" i="1"/>
  <c r="P19" i="1"/>
  <c r="M18" i="1"/>
  <c r="O19" i="1"/>
  <c r="L18" i="1"/>
  <c r="O44" i="1"/>
  <c r="L40" i="1"/>
  <c r="O20" i="1"/>
  <c r="P44" i="1"/>
  <c r="M40" i="1"/>
  <c r="P40" i="5" l="1"/>
  <c r="O40" i="14"/>
  <c r="P40" i="17"/>
  <c r="O40" i="17"/>
  <c r="O40" i="18"/>
  <c r="P40" i="14"/>
  <c r="P40" i="18"/>
  <c r="P40" i="16"/>
  <c r="O40" i="16"/>
  <c r="P40" i="15"/>
  <c r="O40" i="15"/>
  <c r="O40" i="12"/>
  <c r="P40" i="12"/>
  <c r="P40" i="8"/>
  <c r="O40" i="8"/>
  <c r="P40" i="6"/>
  <c r="O40" i="6"/>
  <c r="P40" i="4"/>
  <c r="O40" i="5"/>
  <c r="O40" i="4"/>
  <c r="O40" i="3"/>
  <c r="O40" i="1"/>
  <c r="P40" i="3"/>
  <c r="P18" i="1"/>
  <c r="P40" i="1"/>
  <c r="P40" i="2"/>
  <c r="O40" i="2"/>
  <c r="O18" i="1"/>
</calcChain>
</file>

<file path=xl/sharedStrings.xml><?xml version="1.0" encoding="utf-8"?>
<sst xmlns="http://schemas.openxmlformats.org/spreadsheetml/2006/main" count="12022" uniqueCount="183">
  <si>
    <t>รายละเอียดแผนงาน/โครงการ ผลผลิต/กิจกรรม ปีงบประมาณ พ.ศ. 2567</t>
  </si>
  <si>
    <t>รวมภาคเหนือ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</si>
  <si>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</si>
  <si>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</si>
  <si>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</si>
  <si>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</si>
  <si>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</si>
  <si>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</si>
  <si>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</si>
  <si>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</si>
  <si>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</si>
  <si>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</si>
  <si>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</si>
  <si>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</si>
  <si>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</si>
  <si>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</si>
  <si>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</si>
  <si>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</si>
  <si>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</si>
  <si>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</si>
  <si>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</si>
  <si>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</si>
  <si>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</si>
  <si>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</si>
  <si>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</si>
  <si>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</si>
  <si>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</si>
  <si>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</si>
  <si>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</si>
  <si>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</si>
  <si>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</si>
  <si>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</si>
  <si>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</si>
  <si>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</si>
  <si>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</si>
  <si>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</si>
  <si>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</si>
  <si>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</si>
  <si>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</si>
  <si>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</si>
  <si>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</si>
  <si>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</si>
  <si>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</si>
  <si>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</si>
  <si>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</si>
  <si>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</si>
  <si>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</si>
  <si>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</si>
  <si>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</si>
  <si>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</si>
  <si>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</si>
  <si>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</si>
  <si>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</si>
  <si>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</si>
  <si>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</si>
  <si>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</si>
  <si>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กลุ่ม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</si>
  <si>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</si>
  <si>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</si>
  <si>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</si>
  <si>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</si>
  <si>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</si>
  <si>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</si>
  <si>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</si>
  <si>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</si>
  <si>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</si>
  <si>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</si>
  <si>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</si>
  <si>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</si>
  <si>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</si>
  <si>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</si>
  <si>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</si>
  <si>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</si>
  <si>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</si>
  <si>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</si>
  <si>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</si>
  <si>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</si>
  <si>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</si>
  <si>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</si>
  <si>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</si>
  <si>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</si>
  <si>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</si>
  <si>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</si>
  <si>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</si>
  <si>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</si>
  <si>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</si>
  <si>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</si>
  <si>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</si>
  <si>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</si>
  <si>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</si>
  <si>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</si>
  <si>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</si>
  <si>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</si>
  <si>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</si>
  <si>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</si>
  <si>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</si>
  <si>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</si>
  <si>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</si>
  <si>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</si>
  <si>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</si>
  <si>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</si>
  <si>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</si>
  <si>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</si>
  <si>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</si>
  <si>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</si>
  <si>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</si>
  <si>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</si>
  <si>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</si>
  <si>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</si>
  <si>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</si>
  <si>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</si>
  <si>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</si>
  <si>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</si>
  <si>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</si>
  <si>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</si>
  <si>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</si>
  <si>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</si>
  <si>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</si>
  <si>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</si>
  <si>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</si>
  <si>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</si>
  <si>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</si>
  <si>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</si>
  <si>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</si>
  <si>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</si>
  <si>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</si>
  <si>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</si>
  <si>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</si>
  <si>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</si>
  <si>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</si>
  <si>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</si>
  <si>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</si>
  <si>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</si>
  <si>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</si>
  <si>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</si>
  <si>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</si>
  <si>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</si>
  <si>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</si>
  <si>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</si>
  <si>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</si>
  <si>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</si>
  <si>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</si>
  <si>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</si>
  <si>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</si>
  <si>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</si>
  <si>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</si>
  <si>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</si>
  <si>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</si>
  <si>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</si>
  <si>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</si>
  <si>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</si>
  <si>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หมายเหตุ :</t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</si>
  <si>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</si>
  <si>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</si>
  <si>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</si>
  <si>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t>- ค่าใช้จ่ายในการปฏิบัติงาน</t>
  </si>
  <si>
    <t>- ค่าใช้จ่ายในการบริหารงาน</t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</si>
  <si>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</si>
  <si>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</si>
  <si>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t>สำนักงานการปฏิรูปที่ดินจังหวัด กำแพงเพชร</t>
  </si>
  <si>
    <t>- งบบริหารโครงการ</t>
  </si>
  <si>
    <t>สำนักงานการปฏิรูปที่ดินจังหวัด เชียงราย</t>
  </si>
  <si>
    <t>(5) โครงการธนาคารอาหารชุมชน (เกษตรวิชญา)</t>
  </si>
  <si>
    <t>สำนักงานการปฏิรูปที่ดินจังหวัด เชียงใหม่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</si>
  <si>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</si>
  <si>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</si>
  <si>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(6) โครงการปิดทองหลังพระตามพระราชดำริฯ</t>
  </si>
  <si>
    <t>(5) โครงการศูนย์ภูฟ้าพัฒนาตามพระราชดำริฯ</t>
  </si>
  <si>
    <t>สำนักงานการปฏิรูปที่ดินจังหวัด น่าน</t>
  </si>
  <si>
    <t>ราย/แปลง</t>
  </si>
  <si>
    <t>(5) โครงการศูนย์เรียนรู้การพัฒนาเกษตรอ่างเก็บน้ำห้วยไฟฯ</t>
  </si>
  <si>
    <t>สำนักงานการปฏิรูปที่ดินจังหวัด พะเยา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</si>
  <si>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</si>
  <si>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</si>
  <si>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</si>
  <si>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</si>
  <si>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</si>
  <si>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t>สำนักงานการปฏิรูปที่ดินจังหวัด ลำปาง</t>
  </si>
  <si>
    <t>(5) โครงการพัฒนาพื้นที่ลุ่มน้ำแม่อาวฯ</t>
  </si>
  <si>
    <t>สำนักงานการปฏิรูปที่ดินจังหวัด ลำพูน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</si>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</sst>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</numFmts>
  <fonts count="42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rgb="FF000000"/>
      <name val="Arial"/>
    </font>
    <font>
      <sz val="1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sz val="15"/>
      <color rgb="FFFF0000"/>
      <name val="Arial"/>
    </font>
    <font>
      <b/>
      <sz val="15"/>
      <color rgb="FFFF0000"/>
      <name val="Arial"/>
    </font>
    <font>
      <sz val="14"/>
      <color rgb="FFFF0000"/>
      <name val="Arial"/>
    </font>
    <font>
      <sz val="13"/>
      <color rgb="FFFF0000"/>
      <name val="Arial"/>
    </font>
    <font>
      <i/>
      <sz val="15"/>
      <color rgb="FFFF0000"/>
      <name val="Arial"/>
    </font>
    <font>
      <b/>
      <u/>
      <sz val="15"/>
      <color rgb="FF000000"/>
      <name val="Arial"/>
    </font>
    <font>
      <sz val="15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4"/>
      <color rgb="FF000000"/>
      <name val="Arial"/>
    </font>
    <font>
      <b/>
      <sz val="15"/>
      <color rgb="FFFFFFFF"/>
      <name val="Arial"/>
    </font>
    <font>
      <sz val="10"/>
      <color rgb="FFFFFFFF"/>
      <name val="Arial"/>
    </font>
    <font>
      <b/>
      <sz val="15"/>
      <color theme="1"/>
      <name val="Arial"/>
    </font>
    <font>
      <sz val="10"/>
      <color theme="1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sz val="13"/>
      <color rgb="FF000000"/>
      <name val="Arial"/>
    </font>
    <font>
      <i/>
      <sz val="15"/>
      <color rgb="FF000000"/>
      <name val="Arial"/>
    </font>
    <font>
      <i/>
      <sz val="13"/>
      <color rgb="FF000000"/>
      <name val="Arial"/>
    </font>
    <font>
      <sz val="10"/>
      <color rgb="FF000000"/>
      <name val="Arial"/>
      <scheme val="minor"/>
    </font>
    <font>
      <i/>
      <sz val="13"/>
      <color rgb="FF000000"/>
      <name val="Arial"/>
      <scheme val="minor"/>
    </font>
    <font>
      <u/>
      <sz val="15"/>
      <color rgb="FFFF0000"/>
      <name val="Arial"/>
    </font>
    <font>
      <u/>
      <sz val="15"/>
      <color theme="1"/>
      <name val="Arial"/>
    </font>
    <font>
      <sz val="10"/>
      <color theme="1"/>
      <name val="Arial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2">
    <xf numFmtId="0" fontId="0" fillId="0" borderId="0" xfId="0" applyFont="1" applyAlignment="1"/>
    <xf numFmtId="0" fontId="2" fillId="2" borderId="0" xfId="0" applyFont="1" applyFill="1" applyAlignment="1"/>
    <xf numFmtId="187" fontId="2" fillId="2" borderId="0" xfId="0" applyNumberFormat="1" applyFont="1" applyFill="1" applyAlignment="1"/>
    <xf numFmtId="188" fontId="2" fillId="2" borderId="0" xfId="0" applyNumberFormat="1" applyFont="1" applyFill="1" applyAlignment="1"/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88" fontId="1" fillId="4" borderId="12" xfId="0" applyNumberFormat="1" applyFont="1" applyFill="1" applyBorder="1" applyAlignment="1">
      <alignment horizontal="center"/>
    </xf>
    <xf numFmtId="187" fontId="1" fillId="4" borderId="12" xfId="0" applyNumberFormat="1" applyFont="1" applyFill="1" applyBorder="1" applyAlignment="1">
      <alignment horizontal="center" wrapText="1"/>
    </xf>
    <xf numFmtId="188" fontId="1" fillId="5" borderId="12" xfId="0" applyNumberFormat="1" applyFont="1" applyFill="1" applyBorder="1" applyAlignment="1">
      <alignment horizontal="center" wrapText="1"/>
    </xf>
    <xf numFmtId="188" fontId="1" fillId="7" borderId="12" xfId="0" applyNumberFormat="1" applyFont="1" applyFill="1" applyBorder="1" applyAlignment="1">
      <alignment horizontal="center" wrapText="1"/>
    </xf>
    <xf numFmtId="188" fontId="1" fillId="6" borderId="12" xfId="0" applyNumberFormat="1" applyFont="1" applyFill="1" applyBorder="1" applyAlignment="1">
      <alignment horizontal="center"/>
    </xf>
    <xf numFmtId="188" fontId="1" fillId="5" borderId="12" xfId="0" applyNumberFormat="1" applyFont="1" applyFill="1" applyBorder="1" applyAlignment="1">
      <alignment horizontal="center"/>
    </xf>
    <xf numFmtId="188" fontId="1" fillId="7" borderId="12" xfId="0" applyNumberFormat="1" applyFont="1" applyFill="1" applyBorder="1" applyAlignment="1">
      <alignment horizontal="center"/>
    </xf>
    <xf numFmtId="0" fontId="2" fillId="8" borderId="12" xfId="0" applyFont="1" applyFill="1" applyBorder="1" applyAlignment="1"/>
    <xf numFmtId="189" fontId="2" fillId="8" borderId="12" xfId="0" applyNumberFormat="1" applyFont="1" applyFill="1" applyBorder="1" applyAlignment="1"/>
    <xf numFmtId="188" fontId="2" fillId="8" borderId="12" xfId="0" applyNumberFormat="1" applyFont="1" applyFill="1" applyBorder="1" applyAlignment="1"/>
    <xf numFmtId="0" fontId="2" fillId="8" borderId="13" xfId="0" applyFont="1" applyFill="1" applyBorder="1" applyAlignment="1"/>
    <xf numFmtId="0" fontId="2" fillId="8" borderId="14" xfId="0" applyFont="1" applyFill="1" applyBorder="1" applyAlignment="1"/>
    <xf numFmtId="0" fontId="1" fillId="8" borderId="14" xfId="0" applyFont="1" applyFill="1" applyBorder="1" applyAlignment="1"/>
    <xf numFmtId="0" fontId="4" fillId="8" borderId="14" xfId="0" applyFont="1" applyFill="1" applyBorder="1" applyAlignment="1"/>
    <xf numFmtId="0" fontId="2" fillId="8" borderId="15" xfId="0" applyFont="1" applyFill="1" applyBorder="1" applyAlignment="1"/>
    <xf numFmtId="0" fontId="1" fillId="8" borderId="15" xfId="0" applyFont="1" applyFill="1" applyBorder="1" applyAlignment="1">
      <alignment horizontal="center"/>
    </xf>
    <xf numFmtId="189" fontId="2" fillId="8" borderId="15" xfId="0" applyNumberFormat="1" applyFont="1" applyFill="1" applyBorder="1" applyAlignment="1"/>
    <xf numFmtId="188" fontId="2" fillId="8" borderId="15" xfId="0" applyNumberFormat="1" applyFont="1" applyFill="1" applyBorder="1" applyAlignment="1"/>
    <xf numFmtId="188" fontId="1" fillId="8" borderId="15" xfId="0" applyNumberFormat="1" applyFont="1" applyFill="1" applyBorder="1" applyAlignment="1">
      <alignment horizontal="right"/>
    </xf>
    <xf numFmtId="0" fontId="5" fillId="8" borderId="14" xfId="0" applyFont="1" applyFill="1" applyBorder="1" applyAlignment="1"/>
    <xf numFmtId="0" fontId="5" fillId="8" borderId="15" xfId="0" applyFont="1" applyFill="1" applyBorder="1" applyAlignment="1">
      <alignment horizontal="center"/>
    </xf>
    <xf numFmtId="188" fontId="5" fillId="8" borderId="15" xfId="0" applyNumberFormat="1" applyFont="1" applyFill="1" applyBorder="1" applyAlignment="1">
      <alignment horizontal="right"/>
    </xf>
    <xf numFmtId="0" fontId="6" fillId="8" borderId="14" xfId="0" applyFont="1" applyFill="1" applyBorder="1" applyAlignment="1"/>
    <xf numFmtId="0" fontId="2" fillId="8" borderId="8" xfId="0" applyFont="1" applyFill="1" applyBorder="1" applyAlignment="1"/>
    <xf numFmtId="0" fontId="2" fillId="8" borderId="9" xfId="0" applyFont="1" applyFill="1" applyBorder="1" applyAlignment="1"/>
    <xf numFmtId="0" fontId="5" fillId="8" borderId="9" xfId="0" applyFont="1" applyFill="1" applyBorder="1" applyAlignment="1"/>
    <xf numFmtId="0" fontId="2" fillId="8" borderId="10" xfId="0" applyFont="1" applyFill="1" applyBorder="1" applyAlignment="1"/>
    <xf numFmtId="0" fontId="5" fillId="8" borderId="10" xfId="0" applyFont="1" applyFill="1" applyBorder="1" applyAlignment="1">
      <alignment horizontal="center"/>
    </xf>
    <xf numFmtId="189" fontId="2" fillId="8" borderId="10" xfId="0" applyNumberFormat="1" applyFont="1" applyFill="1" applyBorder="1" applyAlignment="1"/>
    <xf numFmtId="188" fontId="2" fillId="8" borderId="10" xfId="0" applyNumberFormat="1" applyFont="1" applyFill="1" applyBorder="1" applyAlignment="1"/>
    <xf numFmtId="188" fontId="5" fillId="8" borderId="10" xfId="0" applyNumberFormat="1" applyFont="1" applyFill="1" applyBorder="1" applyAlignment="1">
      <alignment horizontal="right"/>
    </xf>
    <xf numFmtId="0" fontId="2" fillId="9" borderId="10" xfId="0" applyFont="1" applyFill="1" applyBorder="1" applyAlignment="1"/>
    <xf numFmtId="189" fontId="2" fillId="9" borderId="10" xfId="0" applyNumberFormat="1" applyFont="1" applyFill="1" applyBorder="1" applyAlignment="1"/>
    <xf numFmtId="188" fontId="2" fillId="9" borderId="10" xfId="0" applyNumberFormat="1" applyFont="1" applyFill="1" applyBorder="1" applyAlignment="1"/>
    <xf numFmtId="0" fontId="2" fillId="10" borderId="13" xfId="0" applyFont="1" applyFill="1" applyBorder="1" applyAlignment="1"/>
    <xf numFmtId="0" fontId="2" fillId="10" borderId="14" xfId="0" applyFont="1" applyFill="1" applyBorder="1" applyAlignment="1"/>
    <xf numFmtId="0" fontId="1" fillId="10" borderId="14" xfId="0" applyFont="1" applyFill="1" applyBorder="1" applyAlignment="1"/>
    <xf numFmtId="0" fontId="7" fillId="10" borderId="14" xfId="0" applyFont="1" applyFill="1" applyBorder="1" applyAlignment="1"/>
    <xf numFmtId="0" fontId="2" fillId="10" borderId="15" xfId="0" applyFont="1" applyFill="1" applyBorder="1" applyAlignment="1"/>
    <xf numFmtId="0" fontId="1" fillId="10" borderId="15" xfId="0" applyFont="1" applyFill="1" applyBorder="1" applyAlignment="1">
      <alignment horizontal="center"/>
    </xf>
    <xf numFmtId="189" fontId="2" fillId="10" borderId="15" xfId="0" applyNumberFormat="1" applyFont="1" applyFill="1" applyBorder="1" applyAlignment="1"/>
    <xf numFmtId="188" fontId="2" fillId="10" borderId="15" xfId="0" applyNumberFormat="1" applyFont="1" applyFill="1" applyBorder="1" applyAlignment="1"/>
    <xf numFmtId="188" fontId="1" fillId="10" borderId="15" xfId="0" applyNumberFormat="1" applyFont="1" applyFill="1" applyBorder="1" applyAlignment="1">
      <alignment horizontal="right"/>
    </xf>
    <xf numFmtId="0" fontId="5" fillId="10" borderId="14" xfId="0" applyFont="1" applyFill="1" applyBorder="1" applyAlignment="1"/>
    <xf numFmtId="0" fontId="5" fillId="10" borderId="15" xfId="0" applyFont="1" applyFill="1" applyBorder="1" applyAlignment="1">
      <alignment horizontal="center"/>
    </xf>
    <xf numFmtId="188" fontId="5" fillId="10" borderId="15" xfId="0" applyNumberFormat="1" applyFont="1" applyFill="1" applyBorder="1" applyAlignment="1">
      <alignment horizontal="right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8" fillId="2" borderId="14" xfId="0" applyFont="1" applyFill="1" applyBorder="1" applyAlignment="1"/>
    <xf numFmtId="0" fontId="2" fillId="2" borderId="15" xfId="0" applyFont="1" applyFill="1" applyBorder="1" applyAlignment="1"/>
    <xf numFmtId="0" fontId="5" fillId="2" borderId="15" xfId="0" applyFont="1" applyFill="1" applyBorder="1" applyAlignment="1">
      <alignment horizontal="center"/>
    </xf>
    <xf numFmtId="189" fontId="2" fillId="2" borderId="15" xfId="0" applyNumberFormat="1" applyFont="1" applyFill="1" applyBorder="1" applyAlignment="1"/>
    <xf numFmtId="188" fontId="2" fillId="2" borderId="15" xfId="0" applyNumberFormat="1" applyFont="1" applyFill="1" applyBorder="1" applyAlignment="1"/>
    <xf numFmtId="188" fontId="5" fillId="2" borderId="15" xfId="0" applyNumberFormat="1" applyFont="1" applyFill="1" applyBorder="1" applyAlignment="1">
      <alignment horizontal="right"/>
    </xf>
    <xf numFmtId="0" fontId="5" fillId="2" borderId="14" xfId="0" applyFont="1" applyFill="1" applyBorder="1" applyAlignment="1"/>
    <xf numFmtId="188" fontId="5" fillId="2" borderId="15" xfId="0" applyNumberFormat="1" applyFont="1" applyFill="1" applyBorder="1" applyAlignment="1">
      <alignment horizontal="right"/>
    </xf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9" fillId="2" borderId="17" xfId="0" applyFont="1" applyFill="1" applyBorder="1" applyAlignment="1"/>
    <xf numFmtId="0" fontId="2" fillId="2" borderId="18" xfId="0" applyFont="1" applyFill="1" applyBorder="1" applyAlignment="1"/>
    <xf numFmtId="0" fontId="5" fillId="2" borderId="18" xfId="0" applyFont="1" applyFill="1" applyBorder="1" applyAlignment="1">
      <alignment horizontal="center"/>
    </xf>
    <xf numFmtId="189" fontId="2" fillId="2" borderId="18" xfId="0" applyNumberFormat="1" applyFont="1" applyFill="1" applyBorder="1" applyAlignment="1"/>
    <xf numFmtId="188" fontId="2" fillId="2" borderId="18" xfId="0" applyNumberFormat="1" applyFont="1" applyFill="1" applyBorder="1" applyAlignment="1"/>
    <xf numFmtId="188" fontId="5" fillId="2" borderId="18" xfId="0" applyNumberFormat="1" applyFont="1" applyFill="1" applyBorder="1" applyAlignment="1">
      <alignment horizontal="right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5" fillId="2" borderId="9" xfId="0" applyFont="1" applyFill="1" applyBorder="1" applyAlignment="1"/>
    <xf numFmtId="0" fontId="2" fillId="2" borderId="10" xfId="0" applyFont="1" applyFill="1" applyBorder="1" applyAlignment="1"/>
    <xf numFmtId="0" fontId="5" fillId="2" borderId="10" xfId="0" applyFont="1" applyFill="1" applyBorder="1" applyAlignment="1">
      <alignment horizontal="center"/>
    </xf>
    <xf numFmtId="189" fontId="2" fillId="2" borderId="10" xfId="0" applyNumberFormat="1" applyFont="1" applyFill="1" applyBorder="1" applyAlignment="1"/>
    <xf numFmtId="188" fontId="2" fillId="2" borderId="10" xfId="0" applyNumberFormat="1" applyFont="1" applyFill="1" applyBorder="1" applyAlignment="1"/>
    <xf numFmtId="188" fontId="5" fillId="2" borderId="10" xfId="0" applyNumberFormat="1" applyFont="1" applyFill="1" applyBorder="1" applyAlignment="1">
      <alignment horizontal="right"/>
    </xf>
    <xf numFmtId="0" fontId="1" fillId="11" borderId="19" xfId="0" applyFont="1" applyFill="1" applyBorder="1" applyAlignment="1"/>
    <xf numFmtId="0" fontId="2" fillId="11" borderId="0" xfId="0" applyFont="1" applyFill="1" applyAlignment="1"/>
    <xf numFmtId="0" fontId="2" fillId="11" borderId="20" xfId="0" applyFont="1" applyFill="1" applyBorder="1" applyAlignment="1"/>
    <xf numFmtId="189" fontId="2" fillId="11" borderId="20" xfId="0" applyNumberFormat="1" applyFont="1" applyFill="1" applyBorder="1" applyAlignment="1"/>
    <xf numFmtId="188" fontId="2" fillId="11" borderId="20" xfId="0" applyNumberFormat="1" applyFont="1" applyFill="1" applyBorder="1" applyAlignment="1"/>
    <xf numFmtId="188" fontId="1" fillId="11" borderId="20" xfId="0" applyNumberFormat="1" applyFont="1" applyFill="1" applyBorder="1" applyAlignment="1">
      <alignment horizontal="right"/>
    </xf>
    <xf numFmtId="0" fontId="1" fillId="12" borderId="5" xfId="0" applyFont="1" applyFill="1" applyBorder="1" applyAlignment="1"/>
    <xf numFmtId="0" fontId="2" fillId="12" borderId="6" xfId="0" applyFont="1" applyFill="1" applyBorder="1" applyAlignment="1"/>
    <xf numFmtId="189" fontId="2" fillId="12" borderId="6" xfId="0" applyNumberFormat="1" applyFont="1" applyFill="1" applyBorder="1" applyAlignment="1"/>
    <xf numFmtId="188" fontId="2" fillId="12" borderId="6" xfId="0" applyNumberFormat="1" applyFont="1" applyFill="1" applyBorder="1" applyAlignment="1"/>
    <xf numFmtId="188" fontId="2" fillId="12" borderId="7" xfId="0" applyNumberFormat="1" applyFont="1" applyFill="1" applyBorder="1" applyAlignment="1"/>
    <xf numFmtId="0" fontId="2" fillId="13" borderId="14" xfId="0" applyFont="1" applyFill="1" applyBorder="1" applyAlignment="1"/>
    <xf numFmtId="0" fontId="1" fillId="13" borderId="14" xfId="0" applyFont="1" applyFill="1" applyBorder="1" applyAlignment="1"/>
    <xf numFmtId="0" fontId="2" fillId="13" borderId="21" xfId="0" applyFont="1" applyFill="1" applyBorder="1" applyAlignment="1"/>
    <xf numFmtId="189" fontId="2" fillId="13" borderId="21" xfId="0" applyNumberFormat="1" applyFont="1" applyFill="1" applyBorder="1" applyAlignment="1"/>
    <xf numFmtId="188" fontId="2" fillId="13" borderId="21" xfId="0" applyNumberFormat="1" applyFont="1" applyFill="1" applyBorder="1" applyAlignment="1"/>
    <xf numFmtId="0" fontId="2" fillId="14" borderId="13" xfId="0" applyFont="1" applyFill="1" applyBorder="1" applyAlignment="1"/>
    <xf numFmtId="0" fontId="2" fillId="14" borderId="14" xfId="0" applyFont="1" applyFill="1" applyBorder="1" applyAlignment="1"/>
    <xf numFmtId="0" fontId="1" fillId="14" borderId="14" xfId="0" applyFont="1" applyFill="1" applyBorder="1" applyAlignment="1"/>
    <xf numFmtId="0" fontId="10" fillId="14" borderId="14" xfId="0" applyFont="1" applyFill="1" applyBorder="1" applyAlignment="1"/>
    <xf numFmtId="0" fontId="2" fillId="14" borderId="15" xfId="0" applyFont="1" applyFill="1" applyBorder="1" applyAlignment="1"/>
    <xf numFmtId="0" fontId="1" fillId="14" borderId="15" xfId="0" applyFont="1" applyFill="1" applyBorder="1" applyAlignment="1">
      <alignment horizontal="center"/>
    </xf>
    <xf numFmtId="189" fontId="2" fillId="14" borderId="15" xfId="0" applyNumberFormat="1" applyFont="1" applyFill="1" applyBorder="1" applyAlignment="1"/>
    <xf numFmtId="188" fontId="2" fillId="14" borderId="15" xfId="0" applyNumberFormat="1" applyFont="1" applyFill="1" applyBorder="1" applyAlignment="1"/>
    <xf numFmtId="188" fontId="1" fillId="14" borderId="15" xfId="0" applyNumberFormat="1" applyFont="1" applyFill="1" applyBorder="1" applyAlignment="1">
      <alignment horizontal="right"/>
    </xf>
    <xf numFmtId="0" fontId="5" fillId="14" borderId="14" xfId="0" applyFont="1" applyFill="1" applyBorder="1" applyAlignment="1"/>
    <xf numFmtId="0" fontId="5" fillId="14" borderId="15" xfId="0" applyFont="1" applyFill="1" applyBorder="1" applyAlignment="1">
      <alignment horizontal="center"/>
    </xf>
    <xf numFmtId="188" fontId="5" fillId="14" borderId="15" xfId="0" applyNumberFormat="1" applyFont="1" applyFill="1" applyBorder="1" applyAlignment="1">
      <alignment horizontal="right"/>
    </xf>
    <xf numFmtId="0" fontId="11" fillId="2" borderId="14" xfId="0" applyFont="1" applyFill="1" applyBorder="1" applyAlignment="1"/>
    <xf numFmtId="0" fontId="2" fillId="15" borderId="6" xfId="0" applyFont="1" applyFill="1" applyBorder="1" applyAlignment="1"/>
    <xf numFmtId="189" fontId="2" fillId="15" borderId="6" xfId="0" applyNumberFormat="1" applyFont="1" applyFill="1" applyBorder="1" applyAlignment="1"/>
    <xf numFmtId="188" fontId="2" fillId="15" borderId="6" xfId="0" applyNumberFormat="1" applyFont="1" applyFill="1" applyBorder="1" applyAlignment="1"/>
    <xf numFmtId="188" fontId="2" fillId="15" borderId="7" xfId="0" applyNumberFormat="1" applyFont="1" applyFill="1" applyBorder="1" applyAlignment="1"/>
    <xf numFmtId="0" fontId="2" fillId="16" borderId="13" xfId="0" applyFont="1" applyFill="1" applyBorder="1" applyAlignment="1"/>
    <xf numFmtId="0" fontId="2" fillId="16" borderId="15" xfId="0" applyFont="1" applyFill="1" applyBorder="1" applyAlignment="1"/>
    <xf numFmtId="189" fontId="2" fillId="16" borderId="15" xfId="0" applyNumberFormat="1" applyFont="1" applyFill="1" applyBorder="1" applyAlignment="1"/>
    <xf numFmtId="188" fontId="2" fillId="16" borderId="15" xfId="0" applyNumberFormat="1" applyFont="1" applyFill="1" applyBorder="1" applyAlignment="1"/>
    <xf numFmtId="0" fontId="2" fillId="17" borderId="13" xfId="0" applyFont="1" applyFill="1" applyBorder="1" applyAlignment="1"/>
    <xf numFmtId="0" fontId="1" fillId="17" borderId="14" xfId="0" applyFont="1" applyFill="1" applyBorder="1" applyAlignment="1"/>
    <xf numFmtId="0" fontId="2" fillId="17" borderId="14" xfId="0" applyFont="1" applyFill="1" applyBorder="1" applyAlignment="1"/>
    <xf numFmtId="0" fontId="2" fillId="17" borderId="15" xfId="0" applyFont="1" applyFill="1" applyBorder="1" applyAlignment="1"/>
    <xf numFmtId="189" fontId="2" fillId="17" borderId="15" xfId="0" applyNumberFormat="1" applyFont="1" applyFill="1" applyBorder="1" applyAlignment="1"/>
    <xf numFmtId="188" fontId="2" fillId="17" borderId="15" xfId="0" applyNumberFormat="1" applyFont="1" applyFill="1" applyBorder="1" applyAlignment="1"/>
    <xf numFmtId="0" fontId="2" fillId="18" borderId="13" xfId="0" applyFont="1" applyFill="1" applyBorder="1" applyAlignment="1"/>
    <xf numFmtId="0" fontId="2" fillId="18" borderId="14" xfId="0" applyFont="1" applyFill="1" applyBorder="1" applyAlignment="1"/>
    <xf numFmtId="0" fontId="1" fillId="18" borderId="14" xfId="0" applyFont="1" applyFill="1" applyBorder="1" applyAlignment="1"/>
    <xf numFmtId="0" fontId="12" fillId="18" borderId="14" xfId="0" applyFont="1" applyFill="1" applyBorder="1" applyAlignment="1"/>
    <xf numFmtId="0" fontId="2" fillId="18" borderId="15" xfId="0" applyFont="1" applyFill="1" applyBorder="1" applyAlignment="1"/>
    <xf numFmtId="0" fontId="1" fillId="18" borderId="15" xfId="0" applyFont="1" applyFill="1" applyBorder="1" applyAlignment="1">
      <alignment horizontal="center"/>
    </xf>
    <xf numFmtId="189" fontId="2" fillId="18" borderId="15" xfId="0" applyNumberFormat="1" applyFont="1" applyFill="1" applyBorder="1" applyAlignment="1"/>
    <xf numFmtId="188" fontId="2" fillId="18" borderId="15" xfId="0" applyNumberFormat="1" applyFont="1" applyFill="1" applyBorder="1" applyAlignment="1"/>
    <xf numFmtId="188" fontId="1" fillId="18" borderId="15" xfId="0" applyNumberFormat="1" applyFont="1" applyFill="1" applyBorder="1" applyAlignment="1">
      <alignment horizontal="right"/>
    </xf>
    <xf numFmtId="0" fontId="5" fillId="18" borderId="14" xfId="0" applyFont="1" applyFill="1" applyBorder="1" applyAlignment="1"/>
    <xf numFmtId="0" fontId="5" fillId="18" borderId="15" xfId="0" applyFont="1" applyFill="1" applyBorder="1" applyAlignment="1">
      <alignment horizontal="center"/>
    </xf>
    <xf numFmtId="188" fontId="5" fillId="18" borderId="15" xfId="0" applyNumberFormat="1" applyFont="1" applyFill="1" applyBorder="1" applyAlignment="1">
      <alignment horizontal="right"/>
    </xf>
    <xf numFmtId="0" fontId="2" fillId="2" borderId="19" xfId="0" applyFont="1" applyFill="1" applyBorder="1" applyAlignment="1"/>
    <xf numFmtId="0" fontId="5" fillId="2" borderId="0" xfId="0" applyFont="1" applyFill="1" applyAlignment="1"/>
    <xf numFmtId="0" fontId="2" fillId="2" borderId="20" xfId="0" applyFont="1" applyFill="1" applyBorder="1" applyAlignment="1"/>
    <xf numFmtId="0" fontId="5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5" fillId="2" borderId="20" xfId="0" applyNumberFormat="1" applyFont="1" applyFill="1" applyBorder="1" applyAlignment="1">
      <alignment horizontal="right"/>
    </xf>
    <xf numFmtId="187" fontId="1" fillId="19" borderId="5" xfId="0" applyNumberFormat="1" applyFont="1" applyFill="1" applyBorder="1" applyAlignment="1"/>
    <xf numFmtId="187" fontId="2" fillId="19" borderId="6" xfId="0" applyNumberFormat="1" applyFont="1" applyFill="1" applyBorder="1" applyAlignment="1"/>
    <xf numFmtId="0" fontId="2" fillId="19" borderId="6" xfId="0" applyFont="1" applyFill="1" applyBorder="1" applyAlignment="1"/>
    <xf numFmtId="189" fontId="2" fillId="19" borderId="6" xfId="0" applyNumberFormat="1" applyFont="1" applyFill="1" applyBorder="1" applyAlignment="1"/>
    <xf numFmtId="188" fontId="2" fillId="19" borderId="6" xfId="0" applyNumberFormat="1" applyFont="1" applyFill="1" applyBorder="1" applyAlignment="1"/>
    <xf numFmtId="188" fontId="2" fillId="19" borderId="7" xfId="0" applyNumberFormat="1" applyFont="1" applyFill="1" applyBorder="1" applyAlignment="1"/>
    <xf numFmtId="187" fontId="1" fillId="20" borderId="13" xfId="0" applyNumberFormat="1" applyFont="1" applyFill="1" applyBorder="1" applyAlignment="1"/>
    <xf numFmtId="0" fontId="2" fillId="20" borderId="14" xfId="0" applyFont="1" applyFill="1" applyBorder="1" applyAlignment="1"/>
    <xf numFmtId="187" fontId="2" fillId="20" borderId="14" xfId="0" applyNumberFormat="1" applyFont="1" applyFill="1" applyBorder="1" applyAlignment="1"/>
    <xf numFmtId="0" fontId="2" fillId="20" borderId="15" xfId="0" applyFont="1" applyFill="1" applyBorder="1" applyAlignment="1"/>
    <xf numFmtId="189" fontId="2" fillId="20" borderId="15" xfId="0" applyNumberFormat="1" applyFont="1" applyFill="1" applyBorder="1" applyAlignment="1"/>
    <xf numFmtId="188" fontId="2" fillId="20" borderId="15" xfId="0" applyNumberFormat="1" applyFont="1" applyFill="1" applyBorder="1" applyAlignment="1"/>
    <xf numFmtId="190" fontId="2" fillId="10" borderId="13" xfId="0" applyNumberFormat="1" applyFont="1" applyFill="1" applyBorder="1" applyAlignment="1"/>
    <xf numFmtId="0" fontId="1" fillId="10" borderId="14" xfId="0" applyFont="1" applyFill="1" applyBorder="1" applyAlignment="1"/>
    <xf numFmtId="187" fontId="2" fillId="10" borderId="14" xfId="0" applyNumberFormat="1" applyFont="1" applyFill="1" applyBorder="1" applyAlignment="1"/>
    <xf numFmtId="0" fontId="1" fillId="10" borderId="15" xfId="0" applyFont="1" applyFill="1" applyBorder="1" applyAlignment="1">
      <alignment horizontal="center" wrapText="1"/>
    </xf>
    <xf numFmtId="189" fontId="1" fillId="10" borderId="15" xfId="0" applyNumberFormat="1" applyFont="1" applyFill="1" applyBorder="1" applyAlignment="1">
      <alignment horizontal="right"/>
    </xf>
    <xf numFmtId="190" fontId="2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3" fillId="2" borderId="14" xfId="0" applyFont="1" applyFill="1" applyBorder="1" applyAlignment="1"/>
    <xf numFmtId="187" fontId="1" fillId="2" borderId="15" xfId="0" applyNumberFormat="1" applyFont="1" applyFill="1" applyBorder="1" applyAlignment="1">
      <alignment horizontal="center"/>
    </xf>
    <xf numFmtId="188" fontId="1" fillId="2" borderId="15" xfId="0" applyNumberFormat="1" applyFont="1" applyFill="1" applyBorder="1" applyAlignment="1">
      <alignment horizontal="right"/>
    </xf>
    <xf numFmtId="187" fontId="5" fillId="2" borderId="15" xfId="0" applyNumberFormat="1" applyFont="1" applyFill="1" applyBorder="1" applyAlignment="1">
      <alignment horizontal="center"/>
    </xf>
    <xf numFmtId="187" fontId="5" fillId="0" borderId="15" xfId="0" applyNumberFormat="1" applyFont="1" applyBorder="1" applyAlignment="1">
      <alignment horizontal="center" wrapText="1"/>
    </xf>
    <xf numFmtId="189" fontId="2" fillId="0" borderId="15" xfId="0" applyNumberFormat="1" applyFont="1" applyBorder="1" applyAlignment="1"/>
    <xf numFmtId="188" fontId="2" fillId="0" borderId="15" xfId="0" applyNumberFormat="1" applyFont="1" applyBorder="1" applyAlignment="1"/>
    <xf numFmtId="187" fontId="5" fillId="0" borderId="15" xfId="0" applyNumberFormat="1" applyFont="1" applyBorder="1" applyAlignment="1">
      <alignment horizontal="center"/>
    </xf>
    <xf numFmtId="187" fontId="2" fillId="0" borderId="13" xfId="0" applyNumberFormat="1" applyFont="1" applyBorder="1" applyAlignment="1"/>
    <xf numFmtId="187" fontId="2" fillId="0" borderId="14" xfId="0" applyNumberFormat="1" applyFont="1" applyBorder="1" applyAlignment="1"/>
    <xf numFmtId="0" fontId="14" fillId="21" borderId="14" xfId="0" quotePrefix="1" applyFont="1" applyFill="1" applyBorder="1" applyAlignment="1"/>
    <xf numFmtId="0" fontId="2" fillId="21" borderId="14" xfId="0" applyFont="1" applyFill="1" applyBorder="1" applyAlignment="1"/>
    <xf numFmtId="0" fontId="2" fillId="21" borderId="15" xfId="0" applyFont="1" applyFill="1" applyBorder="1" applyAlignment="1"/>
    <xf numFmtId="0" fontId="2" fillId="0" borderId="15" xfId="0" applyFont="1" applyBorder="1" applyAlignment="1"/>
    <xf numFmtId="0" fontId="5" fillId="0" borderId="14" xfId="0" quotePrefix="1" applyFont="1" applyBorder="1" applyAlignment="1"/>
    <xf numFmtId="0" fontId="2" fillId="0" borderId="14" xfId="0" applyFont="1" applyBorder="1" applyAlignment="1"/>
    <xf numFmtId="0" fontId="1" fillId="0" borderId="15" xfId="0" applyFont="1" applyBorder="1" applyAlignment="1">
      <alignment horizontal="center" wrapText="1"/>
    </xf>
    <xf numFmtId="189" fontId="1" fillId="2" borderId="15" xfId="0" applyNumberFormat="1" applyFont="1" applyFill="1" applyBorder="1" applyAlignment="1">
      <alignment horizontal="right"/>
    </xf>
    <xf numFmtId="188" fontId="1" fillId="0" borderId="15" xfId="0" applyNumberFormat="1" applyFont="1" applyBorder="1" applyAlignment="1">
      <alignment horizontal="right"/>
    </xf>
    <xf numFmtId="0" fontId="5" fillId="0" borderId="14" xfId="0" applyFont="1" applyBorder="1" applyAlignment="1"/>
    <xf numFmtId="0" fontId="5" fillId="0" borderId="15" xfId="0" applyFont="1" applyBorder="1" applyAlignment="1">
      <alignment horizontal="center"/>
    </xf>
    <xf numFmtId="189" fontId="5" fillId="0" borderId="15" xfId="0" applyNumberFormat="1" applyFont="1" applyBorder="1" applyAlignment="1">
      <alignment horizontal="right"/>
    </xf>
    <xf numFmtId="189" fontId="5" fillId="2" borderId="15" xfId="0" applyNumberFormat="1" applyFont="1" applyFill="1" applyBorder="1" applyAlignment="1">
      <alignment horizontal="right"/>
    </xf>
    <xf numFmtId="188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187" fontId="15" fillId="8" borderId="13" xfId="0" applyNumberFormat="1" applyFont="1" applyFill="1" applyBorder="1" applyAlignment="1"/>
    <xf numFmtId="187" fontId="15" fillId="8" borderId="14" xfId="0" applyNumberFormat="1" applyFont="1" applyFill="1" applyBorder="1" applyAlignment="1"/>
    <xf numFmtId="0" fontId="16" fillId="8" borderId="14" xfId="0" applyFont="1" applyFill="1" applyBorder="1" applyAlignment="1"/>
    <xf numFmtId="0" fontId="15" fillId="8" borderId="14" xfId="0" applyFont="1" applyFill="1" applyBorder="1" applyAlignment="1"/>
    <xf numFmtId="0" fontId="15" fillId="8" borderId="15" xfId="0" applyFont="1" applyFill="1" applyBorder="1" applyAlignment="1"/>
    <xf numFmtId="0" fontId="16" fillId="8" borderId="15" xfId="0" applyFont="1" applyFill="1" applyBorder="1" applyAlignment="1">
      <alignment horizontal="center"/>
    </xf>
    <xf numFmtId="189" fontId="16" fillId="8" borderId="15" xfId="0" applyNumberFormat="1" applyFont="1" applyFill="1" applyBorder="1" applyAlignment="1">
      <alignment horizontal="right"/>
    </xf>
    <xf numFmtId="188" fontId="16" fillId="8" borderId="15" xfId="0" applyNumberFormat="1" applyFont="1" applyFill="1" applyBorder="1" applyAlignment="1">
      <alignment horizontal="right"/>
    </xf>
    <xf numFmtId="0" fontId="1" fillId="0" borderId="14" xfId="0" applyFont="1" applyBorder="1" applyAlignment="1"/>
    <xf numFmtId="0" fontId="5" fillId="0" borderId="14" xfId="0" applyFont="1" applyBorder="1" applyAlignment="1"/>
    <xf numFmtId="189" fontId="5" fillId="2" borderId="15" xfId="0" applyNumberFormat="1" applyFont="1" applyFill="1" applyBorder="1" applyAlignment="1">
      <alignment horizontal="right"/>
    </xf>
    <xf numFmtId="0" fontId="17" fillId="8" borderId="14" xfId="0" applyFont="1" applyFill="1" applyBorder="1" applyAlignment="1"/>
    <xf numFmtId="189" fontId="15" fillId="8" borderId="15" xfId="0" applyNumberFormat="1" applyFont="1" applyFill="1" applyBorder="1" applyAlignment="1"/>
    <xf numFmtId="189" fontId="15" fillId="2" borderId="15" xfId="0" applyNumberFormat="1" applyFont="1" applyFill="1" applyBorder="1" applyAlignment="1"/>
    <xf numFmtId="188" fontId="15" fillId="8" borderId="15" xfId="0" applyNumberFormat="1" applyFont="1" applyFill="1" applyBorder="1" applyAlignment="1"/>
    <xf numFmtId="189" fontId="16" fillId="2" borderId="15" xfId="0" applyNumberFormat="1" applyFont="1" applyFill="1" applyBorder="1" applyAlignment="1">
      <alignment horizontal="right"/>
    </xf>
    <xf numFmtId="0" fontId="18" fillId="8" borderId="14" xfId="0" applyFont="1" applyFill="1" applyBorder="1" applyAlignment="1"/>
    <xf numFmtId="0" fontId="19" fillId="8" borderId="14" xfId="0" applyFont="1" applyFill="1" applyBorder="1" applyAlignment="1"/>
    <xf numFmtId="0" fontId="17" fillId="8" borderId="15" xfId="0" applyFont="1" applyFill="1" applyBorder="1" applyAlignment="1">
      <alignment horizontal="center"/>
    </xf>
    <xf numFmtId="189" fontId="17" fillId="8" borderId="15" xfId="0" applyNumberFormat="1" applyFont="1" applyFill="1" applyBorder="1" applyAlignment="1">
      <alignment horizontal="right"/>
    </xf>
    <xf numFmtId="188" fontId="17" fillId="8" borderId="15" xfId="0" applyNumberFormat="1" applyFont="1" applyFill="1" applyBorder="1" applyAlignment="1">
      <alignment horizontal="right"/>
    </xf>
    <xf numFmtId="187" fontId="1" fillId="8" borderId="13" xfId="0" applyNumberFormat="1" applyFont="1" applyFill="1" applyBorder="1" applyAlignment="1"/>
    <xf numFmtId="190" fontId="2" fillId="8" borderId="14" xfId="0" applyNumberFormat="1" applyFont="1" applyFill="1" applyBorder="1" applyAlignment="1"/>
    <xf numFmtId="189" fontId="2" fillId="8" borderId="14" xfId="0" applyNumberFormat="1" applyFont="1" applyFill="1" applyBorder="1" applyAlignment="1"/>
    <xf numFmtId="188" fontId="2" fillId="8" borderId="14" xfId="0" applyNumberFormat="1" applyFont="1" applyFill="1" applyBorder="1" applyAlignment="1"/>
    <xf numFmtId="190" fontId="2" fillId="8" borderId="13" xfId="0" applyNumberFormat="1" applyFont="1" applyFill="1" applyBorder="1" applyAlignment="1"/>
    <xf numFmtId="0" fontId="1" fillId="8" borderId="14" xfId="0" applyFont="1" applyFill="1" applyBorder="1" applyAlignment="1"/>
    <xf numFmtId="187" fontId="2" fillId="8" borderId="14" xfId="0" applyNumberFormat="1" applyFont="1" applyFill="1" applyBorder="1" applyAlignment="1"/>
    <xf numFmtId="189" fontId="5" fillId="8" borderId="15" xfId="0" applyNumberFormat="1" applyFont="1" applyFill="1" applyBorder="1" applyAlignment="1">
      <alignment horizontal="right"/>
    </xf>
    <xf numFmtId="187" fontId="1" fillId="8" borderId="15" xfId="0" applyNumberFormat="1" applyFont="1" applyFill="1" applyBorder="1" applyAlignment="1">
      <alignment horizontal="center"/>
    </xf>
    <xf numFmtId="190" fontId="15" fillId="8" borderId="13" xfId="0" applyNumberFormat="1" applyFont="1" applyFill="1" applyBorder="1" applyAlignment="1"/>
    <xf numFmtId="187" fontId="16" fillId="8" borderId="15" xfId="0" applyNumberFormat="1" applyFont="1" applyFill="1" applyBorder="1" applyAlignment="1">
      <alignment horizontal="center"/>
    </xf>
    <xf numFmtId="187" fontId="5" fillId="8" borderId="15" xfId="0" applyNumberFormat="1" applyFont="1" applyFill="1" applyBorder="1" applyAlignment="1">
      <alignment horizontal="center"/>
    </xf>
    <xf numFmtId="187" fontId="5" fillId="8" borderId="15" xfId="0" applyNumberFormat="1" applyFont="1" applyFill="1" applyBorder="1" applyAlignment="1">
      <alignment horizontal="center" wrapText="1"/>
    </xf>
    <xf numFmtId="187" fontId="16" fillId="8" borderId="15" xfId="0" applyNumberFormat="1" applyFont="1" applyFill="1" applyBorder="1" applyAlignment="1">
      <alignment horizontal="center" wrapText="1"/>
    </xf>
    <xf numFmtId="190" fontId="2" fillId="20" borderId="14" xfId="0" applyNumberFormat="1" applyFont="1" applyFill="1" applyBorder="1" applyAlignment="1"/>
    <xf numFmtId="189" fontId="2" fillId="20" borderId="14" xfId="0" applyNumberFormat="1" applyFont="1" applyFill="1" applyBorder="1" applyAlignment="1"/>
    <xf numFmtId="188" fontId="2" fillId="20" borderId="14" xfId="0" applyNumberFormat="1" applyFont="1" applyFill="1" applyBorder="1" applyAlignment="1"/>
    <xf numFmtId="190" fontId="2" fillId="10" borderId="14" xfId="0" applyNumberFormat="1" applyFont="1" applyFill="1" applyBorder="1" applyAlignment="1"/>
    <xf numFmtId="190" fontId="1" fillId="10" borderId="14" xfId="0" applyNumberFormat="1" applyFont="1" applyFill="1" applyBorder="1" applyAlignment="1"/>
    <xf numFmtId="0" fontId="1" fillId="10" borderId="15" xfId="0" applyFont="1" applyFill="1" applyBorder="1" applyAlignment="1">
      <alignment horizontal="center" wrapText="1"/>
    </xf>
    <xf numFmtId="187" fontId="2" fillId="0" borderId="15" xfId="0" applyNumberFormat="1" applyFont="1" applyBorder="1" applyAlignment="1"/>
    <xf numFmtId="190" fontId="2" fillId="2" borderId="16" xfId="0" applyNumberFormat="1" applyFont="1" applyFill="1" applyBorder="1" applyAlignment="1"/>
    <xf numFmtId="0" fontId="2" fillId="0" borderId="17" xfId="0" applyFont="1" applyBorder="1" applyAlignment="1"/>
    <xf numFmtId="0" fontId="5" fillId="2" borderId="17" xfId="0" applyFont="1" applyFill="1" applyBorder="1" applyAlignment="1"/>
    <xf numFmtId="187" fontId="5" fillId="0" borderId="18" xfId="0" applyNumberFormat="1" applyFont="1" applyBorder="1" applyAlignment="1">
      <alignment horizontal="center"/>
    </xf>
    <xf numFmtId="189" fontId="5" fillId="2" borderId="18" xfId="0" applyNumberFormat="1" applyFont="1" applyFill="1" applyBorder="1" applyAlignment="1">
      <alignment horizontal="right"/>
    </xf>
    <xf numFmtId="0" fontId="5" fillId="2" borderId="17" xfId="0" applyFont="1" applyFill="1" applyBorder="1" applyAlignment="1"/>
    <xf numFmtId="187" fontId="5" fillId="0" borderId="18" xfId="0" applyNumberFormat="1" applyFont="1" applyBorder="1" applyAlignment="1">
      <alignment horizontal="center"/>
    </xf>
    <xf numFmtId="189" fontId="5" fillId="2" borderId="18" xfId="0" applyNumberFormat="1" applyFont="1" applyFill="1" applyBorder="1" applyAlignment="1">
      <alignment horizontal="right"/>
    </xf>
    <xf numFmtId="0" fontId="20" fillId="2" borderId="17" xfId="0" applyFont="1" applyFill="1" applyBorder="1" applyAlignment="1"/>
    <xf numFmtId="190" fontId="2" fillId="2" borderId="22" xfId="0" applyNumberFormat="1" applyFont="1" applyFill="1" applyBorder="1" applyAlignment="1"/>
    <xf numFmtId="0" fontId="2" fillId="2" borderId="23" xfId="0" applyFont="1" applyFill="1" applyBorder="1" applyAlignment="1"/>
    <xf numFmtId="0" fontId="5" fillId="2" borderId="23" xfId="0" applyFont="1" applyFill="1" applyBorder="1" applyAlignment="1"/>
    <xf numFmtId="0" fontId="2" fillId="2" borderId="24" xfId="0" applyFont="1" applyFill="1" applyBorder="1" applyAlignment="1"/>
    <xf numFmtId="187" fontId="5" fillId="0" borderId="24" xfId="0" applyNumberFormat="1" applyFont="1" applyBorder="1" applyAlignment="1">
      <alignment horizontal="center"/>
    </xf>
    <xf numFmtId="189" fontId="5" fillId="2" borderId="24" xfId="0" applyNumberFormat="1" applyFont="1" applyFill="1" applyBorder="1" applyAlignment="1">
      <alignment horizontal="right"/>
    </xf>
    <xf numFmtId="189" fontId="5" fillId="2" borderId="24" xfId="0" applyNumberFormat="1" applyFont="1" applyFill="1" applyBorder="1" applyAlignment="1">
      <alignment horizontal="right"/>
    </xf>
    <xf numFmtId="188" fontId="2" fillId="2" borderId="24" xfId="0" applyNumberFormat="1" applyFont="1" applyFill="1" applyBorder="1" applyAlignment="1"/>
    <xf numFmtId="187" fontId="1" fillId="20" borderId="16" xfId="0" applyNumberFormat="1" applyFont="1" applyFill="1" applyBorder="1" applyAlignment="1"/>
    <xf numFmtId="0" fontId="2" fillId="20" borderId="17" xfId="0" applyFont="1" applyFill="1" applyBorder="1" applyAlignment="1"/>
    <xf numFmtId="190" fontId="2" fillId="20" borderId="17" xfId="0" applyNumberFormat="1" applyFont="1" applyFill="1" applyBorder="1" applyAlignment="1"/>
    <xf numFmtId="189" fontId="2" fillId="20" borderId="17" xfId="0" applyNumberFormat="1" applyFont="1" applyFill="1" applyBorder="1" applyAlignment="1"/>
    <xf numFmtId="188" fontId="2" fillId="20" borderId="17" xfId="0" applyNumberFormat="1" applyFont="1" applyFill="1" applyBorder="1" applyAlignment="1"/>
    <xf numFmtId="188" fontId="2" fillId="20" borderId="18" xfId="0" applyNumberFormat="1" applyFont="1" applyFill="1" applyBorder="1" applyAlignment="1"/>
    <xf numFmtId="187" fontId="1" fillId="10" borderId="15" xfId="0" applyNumberFormat="1" applyFont="1" applyFill="1" applyBorder="1" applyAlignment="1">
      <alignment horizontal="center"/>
    </xf>
    <xf numFmtId="0" fontId="5" fillId="2" borderId="14" xfId="0" applyFont="1" applyFill="1" applyBorder="1" applyAlignment="1"/>
    <xf numFmtId="190" fontId="2" fillId="2" borderId="19" xfId="0" applyNumberFormat="1" applyFont="1" applyFill="1" applyBorder="1" applyAlignment="1"/>
    <xf numFmtId="0" fontId="5" fillId="2" borderId="0" xfId="0" applyFont="1" applyFill="1" applyAlignment="1"/>
    <xf numFmtId="187" fontId="5" fillId="0" borderId="20" xfId="0" applyNumberFormat="1" applyFont="1" applyBorder="1" applyAlignment="1">
      <alignment horizontal="center"/>
    </xf>
    <xf numFmtId="189" fontId="5" fillId="2" borderId="20" xfId="0" applyNumberFormat="1" applyFont="1" applyFill="1" applyBorder="1" applyAlignment="1">
      <alignment horizontal="right"/>
    </xf>
    <xf numFmtId="187" fontId="1" fillId="7" borderId="5" xfId="0" applyNumberFormat="1" applyFont="1" applyFill="1" applyBorder="1" applyAlignment="1"/>
    <xf numFmtId="187" fontId="2" fillId="7" borderId="6" xfId="0" applyNumberFormat="1" applyFont="1" applyFill="1" applyBorder="1" applyAlignment="1"/>
    <xf numFmtId="0" fontId="2" fillId="7" borderId="6" xfId="0" applyFont="1" applyFill="1" applyBorder="1" applyAlignment="1"/>
    <xf numFmtId="189" fontId="2" fillId="7" borderId="6" xfId="0" applyNumberFormat="1" applyFont="1" applyFill="1" applyBorder="1" applyAlignment="1"/>
    <xf numFmtId="188" fontId="2" fillId="7" borderId="6" xfId="0" applyNumberFormat="1" applyFont="1" applyFill="1" applyBorder="1" applyAlignment="1"/>
    <xf numFmtId="188" fontId="2" fillId="7" borderId="7" xfId="0" applyNumberFormat="1" applyFont="1" applyFill="1" applyBorder="1" applyAlignment="1"/>
    <xf numFmtId="187" fontId="1" fillId="22" borderId="13" xfId="0" applyNumberFormat="1" applyFont="1" applyFill="1" applyBorder="1" applyAlignment="1"/>
    <xf numFmtId="187" fontId="2" fillId="22" borderId="14" xfId="0" applyNumberFormat="1" applyFont="1" applyFill="1" applyBorder="1" applyAlignment="1"/>
    <xf numFmtId="0" fontId="2" fillId="22" borderId="14" xfId="0" applyFont="1" applyFill="1" applyBorder="1" applyAlignment="1"/>
    <xf numFmtId="0" fontId="2" fillId="22" borderId="15" xfId="0" applyFont="1" applyFill="1" applyBorder="1" applyAlignment="1"/>
    <xf numFmtId="189" fontId="2" fillId="22" borderId="15" xfId="0" applyNumberFormat="1" applyFont="1" applyFill="1" applyBorder="1" applyAlignment="1"/>
    <xf numFmtId="188" fontId="2" fillId="22" borderId="15" xfId="0" applyNumberFormat="1" applyFont="1" applyFill="1" applyBorder="1" applyAlignment="1"/>
    <xf numFmtId="187" fontId="2" fillId="21" borderId="13" xfId="0" applyNumberFormat="1" applyFont="1" applyFill="1" applyBorder="1" applyAlignment="1"/>
    <xf numFmtId="0" fontId="1" fillId="21" borderId="14" xfId="0" applyFont="1" applyFill="1" applyBorder="1" applyAlignment="1"/>
    <xf numFmtId="187" fontId="2" fillId="21" borderId="14" xfId="0" applyNumberFormat="1" applyFont="1" applyFill="1" applyBorder="1" applyAlignment="1"/>
    <xf numFmtId="0" fontId="1" fillId="21" borderId="15" xfId="0" applyFont="1" applyFill="1" applyBorder="1" applyAlignment="1">
      <alignment horizontal="center" wrapText="1"/>
    </xf>
    <xf numFmtId="189" fontId="1" fillId="21" borderId="15" xfId="0" applyNumberFormat="1" applyFont="1" applyFill="1" applyBorder="1" applyAlignment="1">
      <alignment horizontal="right"/>
    </xf>
    <xf numFmtId="188" fontId="1" fillId="21" borderId="15" xfId="0" applyNumberFormat="1" applyFont="1" applyFill="1" applyBorder="1" applyAlignment="1">
      <alignment horizontal="right"/>
    </xf>
    <xf numFmtId="188" fontId="2" fillId="21" borderId="15" xfId="0" applyNumberFormat="1" applyFont="1" applyFill="1" applyBorder="1" applyAlignment="1"/>
    <xf numFmtId="187" fontId="2" fillId="2" borderId="13" xfId="0" applyNumberFormat="1" applyFont="1" applyFill="1" applyBorder="1" applyAlignment="1"/>
    <xf numFmtId="187" fontId="5" fillId="2" borderId="14" xfId="0" applyNumberFormat="1" applyFont="1" applyFill="1" applyBorder="1" applyAlignment="1"/>
    <xf numFmtId="187" fontId="5" fillId="2" borderId="14" xfId="0" applyNumberFormat="1" applyFont="1" applyFill="1" applyBorder="1" applyAlignment="1"/>
    <xf numFmtId="0" fontId="5" fillId="2" borderId="15" xfId="0" applyFont="1" applyFill="1" applyBorder="1" applyAlignment="1">
      <alignment horizontal="center" wrapText="1"/>
    </xf>
    <xf numFmtId="187" fontId="2" fillId="2" borderId="14" xfId="0" applyNumberFormat="1" applyFont="1" applyFill="1" applyBorder="1" applyAlignment="1"/>
    <xf numFmtId="187" fontId="2" fillId="23" borderId="13" xfId="0" applyNumberFormat="1" applyFont="1" applyFill="1" applyBorder="1" applyAlignment="1"/>
    <xf numFmtId="187" fontId="2" fillId="23" borderId="14" xfId="0" applyNumberFormat="1" applyFont="1" applyFill="1" applyBorder="1" applyAlignment="1"/>
    <xf numFmtId="0" fontId="1" fillId="23" borderId="14" xfId="0" applyFont="1" applyFill="1" applyBorder="1" applyAlignment="1"/>
    <xf numFmtId="0" fontId="2" fillId="23" borderId="14" xfId="0" applyFont="1" applyFill="1" applyBorder="1" applyAlignment="1"/>
    <xf numFmtId="0" fontId="2" fillId="23" borderId="15" xfId="0" applyFont="1" applyFill="1" applyBorder="1" applyAlignment="1"/>
    <xf numFmtId="0" fontId="1" fillId="23" borderId="15" xfId="0" applyFont="1" applyFill="1" applyBorder="1" applyAlignment="1">
      <alignment horizontal="center" wrapText="1"/>
    </xf>
    <xf numFmtId="189" fontId="1" fillId="23" borderId="15" xfId="0" applyNumberFormat="1" applyFont="1" applyFill="1" applyBorder="1" applyAlignment="1">
      <alignment horizontal="right"/>
    </xf>
    <xf numFmtId="188" fontId="1" fillId="23" borderId="15" xfId="0" applyNumberFormat="1" applyFont="1" applyFill="1" applyBorder="1" applyAlignment="1">
      <alignment horizontal="right"/>
    </xf>
    <xf numFmtId="188" fontId="2" fillId="23" borderId="15" xfId="0" applyNumberFormat="1" applyFont="1" applyFill="1" applyBorder="1" applyAlignment="1"/>
    <xf numFmtId="0" fontId="21" fillId="2" borderId="14" xfId="0" quotePrefix="1" applyFont="1" applyFill="1" applyBorder="1" applyAlignment="1"/>
    <xf numFmtId="187" fontId="1" fillId="0" borderId="15" xfId="0" applyNumberFormat="1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3" borderId="15" xfId="0" applyFont="1" applyFill="1" applyBorder="1" applyAlignment="1">
      <alignment horizontal="center"/>
    </xf>
    <xf numFmtId="0" fontId="22" fillId="2" borderId="17" xfId="0" applyFont="1" applyFill="1" applyBorder="1" applyAlignment="1"/>
    <xf numFmtId="0" fontId="22" fillId="2" borderId="14" xfId="0" applyFont="1" applyFill="1" applyBorder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center"/>
    </xf>
    <xf numFmtId="187" fontId="1" fillId="2" borderId="14" xfId="0" applyNumberFormat="1" applyFont="1" applyFill="1" applyBorder="1" applyAlignment="1"/>
    <xf numFmtId="187" fontId="2" fillId="24" borderId="13" xfId="0" applyNumberFormat="1" applyFont="1" applyFill="1" applyBorder="1" applyAlignment="1"/>
    <xf numFmtId="187" fontId="2" fillId="24" borderId="14" xfId="0" applyNumberFormat="1" applyFont="1" applyFill="1" applyBorder="1" applyAlignment="1"/>
    <xf numFmtId="0" fontId="5" fillId="24" borderId="14" xfId="0" applyFont="1" applyFill="1" applyBorder="1" applyAlignment="1"/>
    <xf numFmtId="0" fontId="2" fillId="24" borderId="14" xfId="0" applyFont="1" applyFill="1" applyBorder="1" applyAlignment="1"/>
    <xf numFmtId="0" fontId="2" fillId="24" borderId="15" xfId="0" applyFont="1" applyFill="1" applyBorder="1" applyAlignment="1"/>
    <xf numFmtId="187" fontId="5" fillId="24" borderId="15" xfId="0" applyNumberFormat="1" applyFont="1" applyFill="1" applyBorder="1" applyAlignment="1">
      <alignment horizontal="center" wrapText="1"/>
    </xf>
    <xf numFmtId="189" fontId="2" fillId="24" borderId="15" xfId="0" applyNumberFormat="1" applyFont="1" applyFill="1" applyBorder="1" applyAlignment="1"/>
    <xf numFmtId="188" fontId="2" fillId="24" borderId="15" xfId="0" applyNumberFormat="1" applyFont="1" applyFill="1" applyBorder="1" applyAlignment="1"/>
    <xf numFmtId="188" fontId="5" fillId="24" borderId="15" xfId="0" applyNumberFormat="1" applyFont="1" applyFill="1" applyBorder="1" applyAlignment="1">
      <alignment horizontal="right"/>
    </xf>
    <xf numFmtId="187" fontId="5" fillId="0" borderId="14" xfId="0" quotePrefix="1" applyNumberFormat="1" applyFont="1" applyBorder="1" applyAlignment="1"/>
    <xf numFmtId="187" fontId="15" fillId="24" borderId="13" xfId="0" applyNumberFormat="1" applyFont="1" applyFill="1" applyBorder="1" applyAlignment="1"/>
    <xf numFmtId="187" fontId="15" fillId="24" borderId="14" xfId="0" applyNumberFormat="1" applyFont="1" applyFill="1" applyBorder="1" applyAlignment="1"/>
    <xf numFmtId="0" fontId="17" fillId="24" borderId="14" xfId="0" applyFont="1" applyFill="1" applyBorder="1" applyAlignment="1"/>
    <xf numFmtId="0" fontId="15" fillId="24" borderId="14" xfId="0" applyFont="1" applyFill="1" applyBorder="1" applyAlignment="1"/>
    <xf numFmtId="0" fontId="15" fillId="24" borderId="15" xfId="0" applyFont="1" applyFill="1" applyBorder="1" applyAlignment="1"/>
    <xf numFmtId="0" fontId="17" fillId="24" borderId="15" xfId="0" applyFont="1" applyFill="1" applyBorder="1" applyAlignment="1">
      <alignment horizontal="center" wrapText="1"/>
    </xf>
    <xf numFmtId="189" fontId="17" fillId="24" borderId="15" xfId="0" applyNumberFormat="1" applyFont="1" applyFill="1" applyBorder="1" applyAlignment="1">
      <alignment horizontal="right"/>
    </xf>
    <xf numFmtId="188" fontId="17" fillId="24" borderId="15" xfId="0" applyNumberFormat="1" applyFont="1" applyFill="1" applyBorder="1" applyAlignment="1">
      <alignment horizontal="right"/>
    </xf>
    <xf numFmtId="190" fontId="15" fillId="24" borderId="13" xfId="0" applyNumberFormat="1" applyFont="1" applyFill="1" applyBorder="1" applyAlignment="1"/>
    <xf numFmtId="0" fontId="17" fillId="24" borderId="14" xfId="0" applyFont="1" applyFill="1" applyBorder="1" applyAlignment="1"/>
    <xf numFmtId="0" fontId="23" fillId="24" borderId="14" xfId="0" applyFont="1" applyFill="1" applyBorder="1" applyAlignment="1"/>
    <xf numFmtId="187" fontId="17" fillId="24" borderId="15" xfId="0" applyNumberFormat="1" applyFont="1" applyFill="1" applyBorder="1" applyAlignment="1">
      <alignment horizontal="center" wrapText="1"/>
    </xf>
    <xf numFmtId="189" fontId="15" fillId="24" borderId="15" xfId="0" applyNumberFormat="1" applyFont="1" applyFill="1" applyBorder="1" applyAlignment="1"/>
    <xf numFmtId="188" fontId="15" fillId="24" borderId="15" xfId="0" applyNumberFormat="1" applyFont="1" applyFill="1" applyBorder="1" applyAlignment="1"/>
    <xf numFmtId="188" fontId="1" fillId="24" borderId="15" xfId="0" applyNumberFormat="1" applyFont="1" applyFill="1" applyBorder="1" applyAlignment="1">
      <alignment horizontal="right"/>
    </xf>
    <xf numFmtId="0" fontId="16" fillId="24" borderId="14" xfId="0" applyFont="1" applyFill="1" applyBorder="1" applyAlignment="1"/>
    <xf numFmtId="187" fontId="16" fillId="24" borderId="15" xfId="0" applyNumberFormat="1" applyFont="1" applyFill="1" applyBorder="1" applyAlignment="1">
      <alignment horizontal="center" wrapText="1"/>
    </xf>
    <xf numFmtId="188" fontId="5" fillId="24" borderId="15" xfId="0" applyNumberFormat="1" applyFont="1" applyFill="1" applyBorder="1" applyAlignment="1">
      <alignment horizontal="right"/>
    </xf>
    <xf numFmtId="187" fontId="17" fillId="24" borderId="14" xfId="0" applyNumberFormat="1" applyFont="1" applyFill="1" applyBorder="1" applyAlignment="1"/>
    <xf numFmtId="0" fontId="24" fillId="24" borderId="14" xfId="0" quotePrefix="1" applyFont="1" applyFill="1" applyBorder="1" applyAlignment="1"/>
    <xf numFmtId="0" fontId="16" fillId="24" borderId="15" xfId="0" applyFont="1" applyFill="1" applyBorder="1" applyAlignment="1">
      <alignment horizontal="center"/>
    </xf>
    <xf numFmtId="189" fontId="16" fillId="24" borderId="15" xfId="0" applyNumberFormat="1" applyFont="1" applyFill="1" applyBorder="1" applyAlignment="1">
      <alignment horizontal="right"/>
    </xf>
    <xf numFmtId="189" fontId="16" fillId="24" borderId="15" xfId="0" applyNumberFormat="1" applyFont="1" applyFill="1" applyBorder="1" applyAlignment="1">
      <alignment horizontal="right"/>
    </xf>
    <xf numFmtId="188" fontId="16" fillId="24" borderId="15" xfId="0" applyNumberFormat="1" applyFont="1" applyFill="1" applyBorder="1" applyAlignment="1">
      <alignment horizontal="right"/>
    </xf>
    <xf numFmtId="187" fontId="16" fillId="24" borderId="14" xfId="0" quotePrefix="1" applyNumberFormat="1" applyFont="1" applyFill="1" applyBorder="1" applyAlignment="1"/>
    <xf numFmtId="0" fontId="16" fillId="24" borderId="14" xfId="0" quotePrefix="1" applyFont="1" applyFill="1" applyBorder="1" applyAlignment="1"/>
    <xf numFmtId="189" fontId="1" fillId="21" borderId="15" xfId="0" applyNumberFormat="1" applyFont="1" applyFill="1" applyBorder="1" applyAlignment="1">
      <alignment horizontal="right"/>
    </xf>
    <xf numFmtId="0" fontId="5" fillId="2" borderId="14" xfId="0" applyFont="1" applyFill="1" applyBorder="1" applyAlignment="1"/>
    <xf numFmtId="187" fontId="2" fillId="8" borderId="13" xfId="0" applyNumberFormat="1" applyFont="1" applyFill="1" applyBorder="1" applyAlignment="1"/>
    <xf numFmtId="0" fontId="25" fillId="8" borderId="14" xfId="0" applyFont="1" applyFill="1" applyBorder="1" applyAlignment="1"/>
    <xf numFmtId="189" fontId="5" fillId="8" borderId="15" xfId="0" applyNumberFormat="1" applyFont="1" applyFill="1" applyBorder="1" applyAlignment="1">
      <alignment horizontal="right"/>
    </xf>
    <xf numFmtId="187" fontId="2" fillId="0" borderId="19" xfId="0" applyNumberFormat="1" applyFont="1" applyBorder="1" applyAlignment="1"/>
    <xf numFmtId="187" fontId="2" fillId="0" borderId="0" xfId="0" applyNumberFormat="1" applyFont="1" applyAlignment="1"/>
    <xf numFmtId="0" fontId="5" fillId="0" borderId="0" xfId="0" quotePrefix="1" applyFont="1" applyAlignment="1"/>
    <xf numFmtId="0" fontId="2" fillId="0" borderId="0" xfId="0" applyFont="1" applyAlignment="1"/>
    <xf numFmtId="0" fontId="2" fillId="0" borderId="20" xfId="0" applyFont="1" applyBorder="1" applyAlignment="1"/>
    <xf numFmtId="189" fontId="5" fillId="2" borderId="20" xfId="0" applyNumberFormat="1" applyFont="1" applyFill="1" applyBorder="1" applyAlignment="1">
      <alignment horizontal="right"/>
    </xf>
    <xf numFmtId="188" fontId="5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/>
    <xf numFmtId="187" fontId="26" fillId="25" borderId="5" xfId="0" applyNumberFormat="1" applyFont="1" applyFill="1" applyBorder="1" applyAlignment="1"/>
    <xf numFmtId="187" fontId="27" fillId="25" borderId="6" xfId="0" applyNumberFormat="1" applyFont="1" applyFill="1" applyBorder="1" applyAlignment="1"/>
    <xf numFmtId="0" fontId="27" fillId="25" borderId="6" xfId="0" applyFont="1" applyFill="1" applyBorder="1" applyAlignment="1"/>
    <xf numFmtId="189" fontId="27" fillId="25" borderId="6" xfId="0" applyNumberFormat="1" applyFont="1" applyFill="1" applyBorder="1" applyAlignment="1"/>
    <xf numFmtId="188" fontId="27" fillId="25" borderId="6" xfId="0" applyNumberFormat="1" applyFont="1" applyFill="1" applyBorder="1" applyAlignment="1"/>
    <xf numFmtId="188" fontId="2" fillId="25" borderId="6" xfId="0" applyNumberFormat="1" applyFont="1" applyFill="1" applyBorder="1" applyAlignment="1"/>
    <xf numFmtId="188" fontId="2" fillId="25" borderId="7" xfId="0" applyNumberFormat="1" applyFont="1" applyFill="1" applyBorder="1" applyAlignment="1"/>
    <xf numFmtId="187" fontId="1" fillId="26" borderId="13" xfId="0" applyNumberFormat="1" applyFont="1" applyFill="1" applyBorder="1" applyAlignment="1"/>
    <xf numFmtId="0" fontId="2" fillId="26" borderId="14" xfId="0" applyFont="1" applyFill="1" applyBorder="1" applyAlignment="1"/>
    <xf numFmtId="187" fontId="2" fillId="26" borderId="14" xfId="0" applyNumberFormat="1" applyFont="1" applyFill="1" applyBorder="1" applyAlignment="1"/>
    <xf numFmtId="189" fontId="2" fillId="26" borderId="14" xfId="0" applyNumberFormat="1" applyFont="1" applyFill="1" applyBorder="1" applyAlignment="1"/>
    <xf numFmtId="189" fontId="2" fillId="26" borderId="15" xfId="0" applyNumberFormat="1" applyFont="1" applyFill="1" applyBorder="1" applyAlignment="1"/>
    <xf numFmtId="188" fontId="2" fillId="26" borderId="15" xfId="0" applyNumberFormat="1" applyFont="1" applyFill="1" applyBorder="1" applyAlignment="1"/>
    <xf numFmtId="190" fontId="2" fillId="27" borderId="13" xfId="0" applyNumberFormat="1" applyFont="1" applyFill="1" applyBorder="1" applyAlignment="1"/>
    <xf numFmtId="0" fontId="1" fillId="27" borderId="14" xfId="0" applyFont="1" applyFill="1" applyBorder="1" applyAlignment="1"/>
    <xf numFmtId="0" fontId="2" fillId="27" borderId="14" xfId="0" applyFont="1" applyFill="1" applyBorder="1" applyAlignment="1"/>
    <xf numFmtId="187" fontId="2" fillId="27" borderId="14" xfId="0" applyNumberFormat="1" applyFont="1" applyFill="1" applyBorder="1" applyAlignment="1"/>
    <xf numFmtId="0" fontId="2" fillId="27" borderId="15" xfId="0" applyFont="1" applyFill="1" applyBorder="1" applyAlignment="1"/>
    <xf numFmtId="0" fontId="1" fillId="27" borderId="15" xfId="0" applyFont="1" applyFill="1" applyBorder="1" applyAlignment="1">
      <alignment horizontal="center" wrapText="1"/>
    </xf>
    <xf numFmtId="189" fontId="1" fillId="27" borderId="15" xfId="0" applyNumberFormat="1" applyFont="1" applyFill="1" applyBorder="1" applyAlignment="1">
      <alignment horizontal="right"/>
    </xf>
    <xf numFmtId="188" fontId="1" fillId="27" borderId="15" xfId="0" applyNumberFormat="1" applyFont="1" applyFill="1" applyBorder="1" applyAlignment="1">
      <alignment horizontal="right"/>
    </xf>
    <xf numFmtId="188" fontId="2" fillId="27" borderId="15" xfId="0" applyNumberFormat="1" applyFont="1" applyFill="1" applyBorder="1" applyAlignment="1"/>
    <xf numFmtId="0" fontId="1" fillId="0" borderId="14" xfId="0" applyFont="1" applyBorder="1" applyAlignment="1"/>
    <xf numFmtId="187" fontId="2" fillId="8" borderId="19" xfId="0" applyNumberFormat="1" applyFont="1" applyFill="1" applyBorder="1" applyAlignment="1"/>
    <xf numFmtId="187" fontId="2" fillId="8" borderId="0" xfId="0" applyNumberFormat="1" applyFont="1" applyFill="1" applyAlignment="1"/>
    <xf numFmtId="0" fontId="2" fillId="8" borderId="0" xfId="0" applyFont="1" applyFill="1" applyAlignment="1"/>
    <xf numFmtId="0" fontId="5" fillId="8" borderId="0" xfId="0" applyFont="1" applyFill="1" applyAlignment="1"/>
    <xf numFmtId="0" fontId="2" fillId="8" borderId="20" xfId="0" applyFont="1" applyFill="1" applyBorder="1" applyAlignment="1"/>
    <xf numFmtId="0" fontId="5" fillId="8" borderId="20" xfId="0" applyFont="1" applyFill="1" applyBorder="1" applyAlignment="1">
      <alignment horizontal="center"/>
    </xf>
    <xf numFmtId="189" fontId="5" fillId="8" borderId="20" xfId="0" applyNumberFormat="1" applyFont="1" applyFill="1" applyBorder="1" applyAlignment="1">
      <alignment horizontal="right"/>
    </xf>
    <xf numFmtId="188" fontId="5" fillId="8" borderId="20" xfId="0" applyNumberFormat="1" applyFont="1" applyFill="1" applyBorder="1" applyAlignment="1">
      <alignment horizontal="right"/>
    </xf>
    <xf numFmtId="188" fontId="2" fillId="8" borderId="20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6" xfId="0" applyNumberFormat="1" applyFont="1" applyFill="1" applyBorder="1" applyAlignment="1"/>
    <xf numFmtId="0" fontId="2" fillId="28" borderId="6" xfId="0" applyFont="1" applyFill="1" applyBorder="1" applyAlignment="1"/>
    <xf numFmtId="189" fontId="2" fillId="28" borderId="6" xfId="0" applyNumberFormat="1" applyFont="1" applyFill="1" applyBorder="1" applyAlignment="1"/>
    <xf numFmtId="188" fontId="2" fillId="28" borderId="6" xfId="0" applyNumberFormat="1" applyFont="1" applyFill="1" applyBorder="1" applyAlignment="1"/>
    <xf numFmtId="188" fontId="2" fillId="28" borderId="7" xfId="0" applyNumberFormat="1" applyFont="1" applyFill="1" applyBorder="1" applyAlignment="1"/>
    <xf numFmtId="187" fontId="1" fillId="29" borderId="13" xfId="0" applyNumberFormat="1" applyFont="1" applyFill="1" applyBorder="1" applyAlignment="1"/>
    <xf numFmtId="187" fontId="2" fillId="29" borderId="14" xfId="0" applyNumberFormat="1" applyFont="1" applyFill="1" applyBorder="1" applyAlignment="1"/>
    <xf numFmtId="0" fontId="2" fillId="29" borderId="14" xfId="0" applyFont="1" applyFill="1" applyBorder="1" applyAlignment="1"/>
    <xf numFmtId="0" fontId="2" fillId="29" borderId="15" xfId="0" applyFont="1" applyFill="1" applyBorder="1" applyAlignment="1"/>
    <xf numFmtId="189" fontId="2" fillId="29" borderId="15" xfId="0" applyNumberFormat="1" applyFont="1" applyFill="1" applyBorder="1" applyAlignment="1"/>
    <xf numFmtId="188" fontId="2" fillId="29" borderId="15" xfId="0" applyNumberFormat="1" applyFont="1" applyFill="1" applyBorder="1" applyAlignment="1"/>
    <xf numFmtId="187" fontId="2" fillId="30" borderId="13" xfId="0" applyNumberFormat="1" applyFont="1" applyFill="1" applyBorder="1" applyAlignment="1"/>
    <xf numFmtId="0" fontId="1" fillId="30" borderId="14" xfId="0" applyFont="1" applyFill="1" applyBorder="1" applyAlignment="1"/>
    <xf numFmtId="0" fontId="2" fillId="30" borderId="14" xfId="0" applyFont="1" applyFill="1" applyBorder="1" applyAlignment="1"/>
    <xf numFmtId="0" fontId="2" fillId="30" borderId="15" xfId="0" applyFont="1" applyFill="1" applyBorder="1" applyAlignment="1"/>
    <xf numFmtId="0" fontId="1" fillId="30" borderId="15" xfId="0" applyFont="1" applyFill="1" applyBorder="1" applyAlignment="1">
      <alignment horizontal="center" wrapText="1"/>
    </xf>
    <xf numFmtId="189" fontId="1" fillId="30" borderId="15" xfId="0" applyNumberFormat="1" applyFont="1" applyFill="1" applyBorder="1" applyAlignment="1">
      <alignment horizontal="right"/>
    </xf>
    <xf numFmtId="188" fontId="1" fillId="30" borderId="15" xfId="0" applyNumberFormat="1" applyFont="1" applyFill="1" applyBorder="1" applyAlignment="1">
      <alignment horizontal="right"/>
    </xf>
    <xf numFmtId="188" fontId="2" fillId="30" borderId="15" xfId="0" applyNumberFormat="1" applyFont="1" applyFill="1" applyBorder="1" applyAlignment="1"/>
    <xf numFmtId="190" fontId="2" fillId="30" borderId="13" xfId="0" applyNumberFormat="1" applyFont="1" applyFill="1" applyBorder="1" applyAlignment="1"/>
    <xf numFmtId="190" fontId="2" fillId="30" borderId="14" xfId="0" applyNumberFormat="1" applyFont="1" applyFill="1" applyBorder="1" applyAlignment="1"/>
    <xf numFmtId="187" fontId="2" fillId="30" borderId="14" xfId="0" applyNumberFormat="1" applyFont="1" applyFill="1" applyBorder="1" applyAlignment="1"/>
    <xf numFmtId="189" fontId="28" fillId="30" borderId="25" xfId="0" applyNumberFormat="1" applyFont="1" applyFill="1" applyBorder="1" applyAlignment="1">
      <alignment horizontal="right"/>
    </xf>
    <xf numFmtId="189" fontId="28" fillId="30" borderId="18" xfId="0" applyNumberFormat="1" applyFont="1" applyFill="1" applyBorder="1" applyAlignment="1">
      <alignment horizontal="right"/>
    </xf>
    <xf numFmtId="188" fontId="28" fillId="30" borderId="18" xfId="0" applyNumberFormat="1" applyFont="1" applyFill="1" applyBorder="1" applyAlignment="1">
      <alignment horizontal="right"/>
    </xf>
    <xf numFmtId="0" fontId="1" fillId="21" borderId="14" xfId="0" applyFont="1" applyFill="1" applyBorder="1" applyAlignment="1"/>
    <xf numFmtId="0" fontId="2" fillId="2" borderId="21" xfId="0" applyFont="1" applyFill="1" applyBorder="1" applyAlignment="1"/>
    <xf numFmtId="189" fontId="2" fillId="2" borderId="21" xfId="0" applyNumberFormat="1" applyFont="1" applyFill="1" applyBorder="1" applyAlignment="1"/>
    <xf numFmtId="188" fontId="2" fillId="2" borderId="21" xfId="0" applyNumberFormat="1" applyFont="1" applyFill="1" applyBorder="1" applyAlignment="1"/>
    <xf numFmtId="187" fontId="29" fillId="23" borderId="16" xfId="0" applyNumberFormat="1" applyFont="1" applyFill="1" applyBorder="1" applyAlignment="1"/>
    <xf numFmtId="0" fontId="29" fillId="23" borderId="17" xfId="0" applyFont="1" applyFill="1" applyBorder="1" applyAlignment="1"/>
    <xf numFmtId="187" fontId="29" fillId="23" borderId="17" xfId="0" applyNumberFormat="1" applyFont="1" applyFill="1" applyBorder="1" applyAlignment="1"/>
    <xf numFmtId="187" fontId="30" fillId="23" borderId="17" xfId="0" applyNumberFormat="1" applyFont="1" applyFill="1" applyBorder="1" applyAlignment="1"/>
    <xf numFmtId="0" fontId="29" fillId="23" borderId="18" xfId="0" applyFont="1" applyFill="1" applyBorder="1" applyAlignment="1"/>
    <xf numFmtId="0" fontId="28" fillId="23" borderId="18" xfId="0" applyFont="1" applyFill="1" applyBorder="1" applyAlignment="1">
      <alignment horizontal="center" wrapText="1"/>
    </xf>
    <xf numFmtId="189" fontId="28" fillId="23" borderId="18" xfId="0" applyNumberFormat="1" applyFont="1" applyFill="1" applyBorder="1" applyAlignment="1">
      <alignment horizontal="right"/>
    </xf>
    <xf numFmtId="188" fontId="28" fillId="23" borderId="18" xfId="0" applyNumberFormat="1" applyFont="1" applyFill="1" applyBorder="1" applyAlignment="1">
      <alignment horizontal="right"/>
    </xf>
    <xf numFmtId="188" fontId="2" fillId="23" borderId="18" xfId="0" applyNumberFormat="1" applyFont="1" applyFill="1" applyBorder="1" applyAlignment="1"/>
    <xf numFmtId="187" fontId="29" fillId="2" borderId="13" xfId="0" applyNumberFormat="1" applyFont="1" applyFill="1" applyBorder="1" applyAlignment="1"/>
    <xf numFmtId="0" fontId="29" fillId="2" borderId="14" xfId="0" applyFont="1" applyFill="1" applyBorder="1" applyAlignment="1"/>
    <xf numFmtId="187" fontId="29" fillId="2" borderId="14" xfId="0" applyNumberFormat="1" applyFont="1" applyFill="1" applyBorder="1" applyAlignment="1"/>
    <xf numFmtId="0" fontId="29" fillId="0" borderId="14" xfId="0" applyFont="1" applyBorder="1" applyAlignment="1"/>
    <xf numFmtId="0" fontId="22" fillId="0" borderId="14" xfId="0" applyFont="1" applyBorder="1" applyAlignment="1"/>
    <xf numFmtId="0" fontId="29" fillId="2" borderId="15" xfId="0" applyFont="1" applyFill="1" applyBorder="1" applyAlignment="1"/>
    <xf numFmtId="0" fontId="22" fillId="2" borderId="15" xfId="0" applyFont="1" applyFill="1" applyBorder="1" applyAlignment="1">
      <alignment horizontal="center" wrapText="1"/>
    </xf>
    <xf numFmtId="189" fontId="22" fillId="2" borderId="15" xfId="0" applyNumberFormat="1" applyFont="1" applyFill="1" applyBorder="1" applyAlignment="1">
      <alignment horizontal="right"/>
    </xf>
    <xf numFmtId="188" fontId="22" fillId="2" borderId="15" xfId="0" applyNumberFormat="1" applyFont="1" applyFill="1" applyBorder="1" applyAlignment="1">
      <alignment horizontal="right"/>
    </xf>
    <xf numFmtId="187" fontId="29" fillId="2" borderId="15" xfId="0" applyNumberFormat="1" applyFont="1" applyFill="1" applyBorder="1" applyAlignment="1"/>
    <xf numFmtId="189" fontId="29" fillId="2" borderId="15" xfId="0" applyNumberFormat="1" applyFont="1" applyFill="1" applyBorder="1" applyAlignment="1"/>
    <xf numFmtId="188" fontId="29" fillId="2" borderId="15" xfId="0" applyNumberFormat="1" applyFont="1" applyFill="1" applyBorder="1" applyAlignment="1"/>
    <xf numFmtId="187" fontId="22" fillId="2" borderId="15" xfId="0" applyNumberFormat="1" applyFont="1" applyFill="1" applyBorder="1" applyAlignment="1">
      <alignment horizontal="center" wrapText="1"/>
    </xf>
    <xf numFmtId="187" fontId="29" fillId="0" borderId="14" xfId="0" applyNumberFormat="1" applyFont="1" applyBorder="1" applyAlignment="1"/>
    <xf numFmtId="187" fontId="31" fillId="2" borderId="14" xfId="0" applyNumberFormat="1" applyFont="1" applyFill="1" applyBorder="1" applyAlignment="1"/>
    <xf numFmtId="187" fontId="29" fillId="23" borderId="13" xfId="0" applyNumberFormat="1" applyFont="1" applyFill="1" applyBorder="1" applyAlignment="1"/>
    <xf numFmtId="0" fontId="29" fillId="23" borderId="14" xfId="0" applyFont="1" applyFill="1" applyBorder="1" applyAlignment="1"/>
    <xf numFmtId="187" fontId="29" fillId="23" borderId="14" xfId="0" applyNumberFormat="1" applyFont="1" applyFill="1" applyBorder="1" applyAlignment="1"/>
    <xf numFmtId="0" fontId="32" fillId="23" borderId="14" xfId="0" applyFont="1" applyFill="1" applyBorder="1" applyAlignment="1"/>
    <xf numFmtId="0" fontId="29" fillId="23" borderId="15" xfId="0" applyFont="1" applyFill="1" applyBorder="1" applyAlignment="1"/>
    <xf numFmtId="0" fontId="28" fillId="23" borderId="15" xfId="0" applyFont="1" applyFill="1" applyBorder="1" applyAlignment="1">
      <alignment horizontal="center" wrapText="1"/>
    </xf>
    <xf numFmtId="189" fontId="28" fillId="23" borderId="15" xfId="0" applyNumberFormat="1" applyFont="1" applyFill="1" applyBorder="1" applyAlignment="1">
      <alignment horizontal="right"/>
    </xf>
    <xf numFmtId="188" fontId="28" fillId="23" borderId="15" xfId="0" applyNumberFormat="1" applyFont="1" applyFill="1" applyBorder="1" applyAlignment="1">
      <alignment horizontal="right"/>
    </xf>
    <xf numFmtId="187" fontId="22" fillId="2" borderId="15" xfId="0" applyNumberFormat="1" applyFont="1" applyFill="1" applyBorder="1" applyAlignment="1">
      <alignment horizontal="center"/>
    </xf>
    <xf numFmtId="189" fontId="2" fillId="30" borderId="15" xfId="0" applyNumberFormat="1" applyFont="1" applyFill="1" applyBorder="1" applyAlignment="1"/>
    <xf numFmtId="0" fontId="33" fillId="23" borderId="14" xfId="0" applyFont="1" applyFill="1" applyBorder="1" applyAlignment="1"/>
    <xf numFmtId="0" fontId="1" fillId="23" borderId="15" xfId="0" applyFont="1" applyFill="1" applyBorder="1" applyAlignment="1">
      <alignment horizontal="center"/>
    </xf>
    <xf numFmtId="189" fontId="1" fillId="23" borderId="15" xfId="0" applyNumberFormat="1" applyFont="1" applyFill="1" applyBorder="1" applyAlignment="1"/>
    <xf numFmtId="189" fontId="1" fillId="23" borderId="15" xfId="0" applyNumberFormat="1" applyFont="1" applyFill="1" applyBorder="1" applyAlignment="1"/>
    <xf numFmtId="188" fontId="1" fillId="23" borderId="15" xfId="0" applyNumberFormat="1" applyFont="1" applyFill="1" applyBorder="1" applyAlignment="1"/>
    <xf numFmtId="0" fontId="5" fillId="0" borderId="14" xfId="0" quotePrefix="1" applyFont="1" applyBorder="1" applyAlignment="1"/>
    <xf numFmtId="187" fontId="34" fillId="0" borderId="19" xfId="0" applyNumberFormat="1" applyFont="1" applyBorder="1" applyAlignment="1"/>
    <xf numFmtId="0" fontId="5" fillId="0" borderId="20" xfId="0" applyFont="1" applyBorder="1" applyAlignment="1">
      <alignment horizontal="center"/>
    </xf>
    <xf numFmtId="187" fontId="35" fillId="2" borderId="26" xfId="0" applyNumberFormat="1" applyFont="1" applyFill="1" applyBorder="1" applyAlignment="1"/>
    <xf numFmtId="0" fontId="1" fillId="2" borderId="26" xfId="0" applyFont="1" applyFill="1" applyBorder="1" applyAlignment="1"/>
    <xf numFmtId="187" fontId="2" fillId="2" borderId="26" xfId="0" applyNumberFormat="1" applyFont="1" applyFill="1" applyBorder="1" applyAlignment="1"/>
    <xf numFmtId="187" fontId="36" fillId="2" borderId="26" xfId="0" applyNumberFormat="1" applyFont="1" applyFill="1" applyBorder="1" applyAlignment="1"/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189" fontId="2" fillId="2" borderId="28" xfId="0" applyNumberFormat="1" applyFont="1" applyFill="1" applyBorder="1" applyAlignment="1"/>
    <xf numFmtId="188" fontId="2" fillId="2" borderId="28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6" xfId="0" applyNumberFormat="1" applyFont="1" applyFill="1" applyBorder="1" applyAlignment="1"/>
    <xf numFmtId="0" fontId="2" fillId="31" borderId="6" xfId="0" applyFont="1" applyFill="1" applyBorder="1" applyAlignment="1"/>
    <xf numFmtId="189" fontId="2" fillId="31" borderId="6" xfId="0" applyNumberFormat="1" applyFont="1" applyFill="1" applyBorder="1" applyAlignment="1"/>
    <xf numFmtId="188" fontId="2" fillId="31" borderId="6" xfId="0" applyNumberFormat="1" applyFont="1" applyFill="1" applyBorder="1" applyAlignment="1"/>
    <xf numFmtId="188" fontId="2" fillId="31" borderId="7" xfId="0" applyNumberFormat="1" applyFont="1" applyFill="1" applyBorder="1" applyAlignment="1"/>
    <xf numFmtId="187" fontId="1" fillId="32" borderId="13" xfId="0" applyNumberFormat="1" applyFont="1" applyFill="1" applyBorder="1" applyAlignment="1"/>
    <xf numFmtId="187" fontId="2" fillId="32" borderId="14" xfId="0" applyNumberFormat="1" applyFont="1" applyFill="1" applyBorder="1" applyAlignment="1"/>
    <xf numFmtId="0" fontId="2" fillId="32" borderId="14" xfId="0" applyFont="1" applyFill="1" applyBorder="1" applyAlignment="1"/>
    <xf numFmtId="0" fontId="2" fillId="32" borderId="15" xfId="0" applyFont="1" applyFill="1" applyBorder="1" applyAlignment="1"/>
    <xf numFmtId="189" fontId="2" fillId="32" borderId="15" xfId="0" applyNumberFormat="1" applyFont="1" applyFill="1" applyBorder="1" applyAlignment="1"/>
    <xf numFmtId="188" fontId="2" fillId="32" borderId="15" xfId="0" applyNumberFormat="1" applyFont="1" applyFill="1" applyBorder="1" applyAlignment="1"/>
    <xf numFmtId="187" fontId="2" fillId="33" borderId="13" xfId="0" applyNumberFormat="1" applyFont="1" applyFill="1" applyBorder="1" applyAlignment="1"/>
    <xf numFmtId="0" fontId="1" fillId="33" borderId="14" xfId="0" applyFont="1" applyFill="1" applyBorder="1" applyAlignment="1"/>
    <xf numFmtId="187" fontId="2" fillId="33" borderId="14" xfId="0" applyNumberFormat="1" applyFont="1" applyFill="1" applyBorder="1" applyAlignment="1"/>
    <xf numFmtId="0" fontId="2" fillId="33" borderId="14" xfId="0" applyFont="1" applyFill="1" applyBorder="1" applyAlignment="1"/>
    <xf numFmtId="0" fontId="2" fillId="33" borderId="15" xfId="0" applyFont="1" applyFill="1" applyBorder="1" applyAlignment="1"/>
    <xf numFmtId="0" fontId="1" fillId="33" borderId="15" xfId="0" applyFont="1" applyFill="1" applyBorder="1" applyAlignment="1">
      <alignment horizontal="center" wrapText="1"/>
    </xf>
    <xf numFmtId="189" fontId="1" fillId="33" borderId="15" xfId="0" applyNumberFormat="1" applyFont="1" applyFill="1" applyBorder="1" applyAlignment="1">
      <alignment horizontal="right"/>
    </xf>
    <xf numFmtId="188" fontId="1" fillId="33" borderId="15" xfId="0" applyNumberFormat="1" applyFont="1" applyFill="1" applyBorder="1" applyAlignment="1">
      <alignment horizontal="right"/>
    </xf>
    <xf numFmtId="188" fontId="2" fillId="33" borderId="15" xfId="0" applyNumberFormat="1" applyFont="1" applyFill="1" applyBorder="1" applyAlignment="1"/>
    <xf numFmtId="187" fontId="2" fillId="2" borderId="8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5" fillId="0" borderId="9" xfId="0" applyFont="1" applyBorder="1" applyAlignment="1"/>
    <xf numFmtId="187" fontId="2" fillId="0" borderId="9" xfId="0" applyNumberFormat="1" applyFont="1" applyBorder="1" applyAlignment="1"/>
    <xf numFmtId="0" fontId="5" fillId="2" borderId="10" xfId="0" applyFont="1" applyFill="1" applyBorder="1" applyAlignment="1">
      <alignment horizontal="center" wrapText="1"/>
    </xf>
    <xf numFmtId="189" fontId="5" fillId="2" borderId="10" xfId="0" applyNumberFormat="1" applyFont="1" applyFill="1" applyBorder="1" applyAlignment="1">
      <alignment horizontal="right"/>
    </xf>
    <xf numFmtId="0" fontId="37" fillId="0" borderId="0" xfId="0" applyFont="1"/>
    <xf numFmtId="0" fontId="36" fillId="0" borderId="0" xfId="0" applyFont="1" applyAlignment="1"/>
    <xf numFmtId="0" fontId="38" fillId="0" borderId="0" xfId="0" applyFont="1"/>
    <xf numFmtId="0" fontId="1" fillId="8" borderId="5" xfId="0" applyFont="1" applyFill="1" applyBorder="1" applyAlignment="1"/>
    <xf numFmtId="0" fontId="3" fillId="0" borderId="6" xfId="0" applyFont="1" applyBorder="1"/>
    <xf numFmtId="0" fontId="3" fillId="0" borderId="7" xfId="0" applyFont="1" applyBorder="1"/>
    <xf numFmtId="0" fontId="1" fillId="9" borderId="8" xfId="0" applyFont="1" applyFill="1" applyBorder="1" applyAlignment="1"/>
    <xf numFmtId="0" fontId="3" fillId="0" borderId="9" xfId="0" applyFont="1" applyBorder="1"/>
    <xf numFmtId="0" fontId="3" fillId="0" borderId="10" xfId="0" applyFont="1" applyBorder="1"/>
    <xf numFmtId="0" fontId="1" fillId="8" borderId="8" xfId="0" applyFont="1" applyFill="1" applyBorder="1" applyAlignment="1"/>
    <xf numFmtId="0" fontId="1" fillId="15" borderId="5" xfId="0" applyFont="1" applyFill="1" applyBorder="1" applyAlignment="1"/>
    <xf numFmtId="0" fontId="1" fillId="16" borderId="14" xfId="0" applyFont="1" applyFill="1" applyBorder="1" applyAlignment="1"/>
    <xf numFmtId="0" fontId="3" fillId="0" borderId="14" xfId="0" applyFont="1" applyBorder="1"/>
    <xf numFmtId="0" fontId="3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1" fillId="4" borderId="5" xfId="0" applyFont="1" applyFill="1" applyBorder="1" applyAlignment="1">
      <alignment horizontal="center"/>
    </xf>
    <xf numFmtId="188" fontId="1" fillId="5" borderId="5" xfId="0" applyNumberFormat="1" applyFont="1" applyFill="1" applyBorder="1" applyAlignment="1">
      <alignment horizontal="center" wrapText="1"/>
    </xf>
    <xf numFmtId="188" fontId="1" fillId="6" borderId="5" xfId="0" applyNumberFormat="1" applyFont="1" applyFill="1" applyBorder="1" applyAlignment="1">
      <alignment horizontal="center"/>
    </xf>
    <xf numFmtId="0" fontId="29" fillId="0" borderId="0" xfId="0" applyFont="1" applyAlignment="1"/>
    <xf numFmtId="0" fontId="31" fillId="0" borderId="0" xfId="0" applyFont="1" applyAlignment="1"/>
    <xf numFmtId="188" fontId="29" fillId="2" borderId="10" xfId="0" applyNumberFormat="1" applyFont="1" applyFill="1" applyBorder="1" applyAlignment="1"/>
    <xf numFmtId="188" fontId="16" fillId="2" borderId="10" xfId="0" applyNumberFormat="1" applyFont="1" applyFill="1" applyBorder="1" applyAlignment="1">
      <alignment horizontal="right"/>
    </xf>
    <xf numFmtId="189" fontId="16" fillId="34" borderId="10" xfId="0" applyNumberFormat="1" applyFont="1" applyFill="1" applyBorder="1" applyAlignment="1">
      <alignment horizontal="right"/>
    </xf>
    <xf numFmtId="189" fontId="16" fillId="2" borderId="10" xfId="0" applyNumberFormat="1" applyFont="1" applyFill="1" applyBorder="1" applyAlignment="1">
      <alignment horizontal="right"/>
    </xf>
    <xf numFmtId="0" fontId="16" fillId="2" borderId="10" xfId="0" applyFont="1" applyFill="1" applyBorder="1" applyAlignment="1">
      <alignment horizontal="center" wrapText="1"/>
    </xf>
    <xf numFmtId="0" fontId="29" fillId="2" borderId="10" xfId="0" applyFont="1" applyFill="1" applyBorder="1" applyAlignment="1"/>
    <xf numFmtId="0" fontId="29" fillId="2" borderId="9" xfId="0" applyFont="1" applyFill="1" applyBorder="1" applyAlignment="1"/>
    <xf numFmtId="187" fontId="29" fillId="0" borderId="9" xfId="0" applyNumberFormat="1" applyFont="1" applyBorder="1" applyAlignment="1"/>
    <xf numFmtId="0" fontId="16" fillId="0" borderId="9" xfId="0" applyFont="1" applyBorder="1" applyAlignment="1"/>
    <xf numFmtId="187" fontId="29" fillId="2" borderId="9" xfId="0" applyNumberFormat="1" applyFont="1" applyFill="1" applyBorder="1" applyAlignment="1"/>
    <xf numFmtId="187" fontId="29" fillId="2" borderId="8" xfId="0" applyNumberFormat="1" applyFont="1" applyFill="1" applyBorder="1" applyAlignment="1"/>
    <xf numFmtId="188" fontId="16" fillId="2" borderId="15" xfId="0" applyNumberFormat="1" applyFont="1" applyFill="1" applyBorder="1" applyAlignment="1">
      <alignment horizontal="right"/>
    </xf>
    <xf numFmtId="189" fontId="16" fillId="34" borderId="15" xfId="0" applyNumberFormat="1" applyFont="1" applyFill="1" applyBorder="1" applyAlignment="1">
      <alignment horizontal="right"/>
    </xf>
    <xf numFmtId="0" fontId="16" fillId="2" borderId="15" xfId="0" applyFont="1" applyFill="1" applyBorder="1" applyAlignment="1">
      <alignment horizontal="center" wrapText="1"/>
    </xf>
    <xf numFmtId="0" fontId="16" fillId="0" borderId="14" xfId="0" applyFont="1" applyBorder="1" applyAlignment="1"/>
    <xf numFmtId="188" fontId="29" fillId="0" borderId="15" xfId="0" applyNumberFormat="1" applyFont="1" applyBorder="1" applyAlignment="1"/>
    <xf numFmtId="189" fontId="29" fillId="0" borderId="15" xfId="0" applyNumberFormat="1" applyFont="1" applyBorder="1" applyAlignment="1"/>
    <xf numFmtId="0" fontId="29" fillId="0" borderId="15" xfId="0" applyFont="1" applyBorder="1" applyAlignment="1"/>
    <xf numFmtId="0" fontId="29" fillId="21" borderId="15" xfId="0" applyFont="1" applyFill="1" applyBorder="1" applyAlignment="1"/>
    <xf numFmtId="0" fontId="29" fillId="21" borderId="14" xfId="0" applyFont="1" applyFill="1" applyBorder="1" applyAlignment="1"/>
    <xf numFmtId="0" fontId="23" fillId="21" borderId="14" xfId="0" quotePrefix="1" applyFont="1" applyFill="1" applyBorder="1" applyAlignment="1"/>
    <xf numFmtId="0" fontId="17" fillId="2" borderId="14" xfId="0" applyFont="1" applyFill="1" applyBorder="1" applyAlignment="1"/>
    <xf numFmtId="187" fontId="29" fillId="0" borderId="13" xfId="0" applyNumberFormat="1" applyFont="1" applyBorder="1" applyAlignment="1"/>
    <xf numFmtId="187" fontId="16" fillId="0" borderId="15" xfId="0" applyNumberFormat="1" applyFont="1" applyBorder="1" applyAlignment="1">
      <alignment horizontal="center"/>
    </xf>
    <xf numFmtId="0" fontId="16" fillId="2" borderId="14" xfId="0" applyFont="1" applyFill="1" applyBorder="1" applyAlignment="1"/>
    <xf numFmtId="190" fontId="29" fillId="2" borderId="13" xfId="0" applyNumberFormat="1" applyFont="1" applyFill="1" applyBorder="1" applyAlignment="1"/>
    <xf numFmtId="187" fontId="16" fillId="0" borderId="15" xfId="0" applyNumberFormat="1" applyFont="1" applyBorder="1" applyAlignment="1">
      <alignment horizontal="center" wrapText="1"/>
    </xf>
    <xf numFmtId="0" fontId="39" fillId="2" borderId="14" xfId="0" applyFont="1" applyFill="1" applyBorder="1" applyAlignment="1"/>
    <xf numFmtId="187" fontId="16" fillId="2" borderId="15" xfId="0" applyNumberFormat="1" applyFont="1" applyFill="1" applyBorder="1" applyAlignment="1">
      <alignment horizontal="center"/>
    </xf>
    <xf numFmtId="188" fontId="17" fillId="2" borderId="15" xfId="0" applyNumberFormat="1" applyFont="1" applyFill="1" applyBorder="1" applyAlignment="1">
      <alignment horizontal="right"/>
    </xf>
    <xf numFmtId="187" fontId="17" fillId="2" borderId="15" xfId="0" applyNumberFormat="1" applyFont="1" applyFill="1" applyBorder="1" applyAlignment="1">
      <alignment horizontal="center"/>
    </xf>
    <xf numFmtId="0" fontId="23" fillId="2" borderId="14" xfId="0" applyFont="1" applyFill="1" applyBorder="1" applyAlignment="1"/>
    <xf numFmtId="188" fontId="29" fillId="33" borderId="15" xfId="0" applyNumberFormat="1" applyFont="1" applyFill="1" applyBorder="1" applyAlignment="1"/>
    <xf numFmtId="188" fontId="17" fillId="33" borderId="15" xfId="0" applyNumberFormat="1" applyFont="1" applyFill="1" applyBorder="1" applyAlignment="1">
      <alignment horizontal="right"/>
    </xf>
    <xf numFmtId="189" fontId="17" fillId="33" borderId="15" xfId="0" applyNumberFormat="1" applyFont="1" applyFill="1" applyBorder="1" applyAlignment="1">
      <alignment horizontal="right"/>
    </xf>
    <xf numFmtId="0" fontId="17" fillId="33" borderId="15" xfId="0" applyFont="1" applyFill="1" applyBorder="1" applyAlignment="1">
      <alignment horizontal="center" wrapText="1"/>
    </xf>
    <xf numFmtId="0" fontId="29" fillId="33" borderId="15" xfId="0" applyFont="1" applyFill="1" applyBorder="1" applyAlignment="1"/>
    <xf numFmtId="0" fontId="29" fillId="33" borderId="14" xfId="0" applyFont="1" applyFill="1" applyBorder="1" applyAlignment="1"/>
    <xf numFmtId="187" fontId="29" fillId="33" borderId="14" xfId="0" applyNumberFormat="1" applyFont="1" applyFill="1" applyBorder="1" applyAlignment="1"/>
    <xf numFmtId="0" fontId="17" fillId="33" borderId="14" xfId="0" applyFont="1" applyFill="1" applyBorder="1" applyAlignment="1"/>
    <xf numFmtId="187" fontId="29" fillId="33" borderId="13" xfId="0" applyNumberFormat="1" applyFont="1" applyFill="1" applyBorder="1" applyAlignment="1"/>
    <xf numFmtId="188" fontId="29" fillId="32" borderId="15" xfId="0" applyNumberFormat="1" applyFont="1" applyFill="1" applyBorder="1" applyAlignment="1"/>
    <xf numFmtId="189" fontId="29" fillId="32" borderId="15" xfId="0" applyNumberFormat="1" applyFont="1" applyFill="1" applyBorder="1" applyAlignment="1"/>
    <xf numFmtId="0" fontId="29" fillId="32" borderId="15" xfId="0" applyFont="1" applyFill="1" applyBorder="1" applyAlignment="1"/>
    <xf numFmtId="187" fontId="29" fillId="32" borderId="14" xfId="0" applyNumberFormat="1" applyFont="1" applyFill="1" applyBorder="1" applyAlignment="1"/>
    <xf numFmtId="0" fontId="29" fillId="32" borderId="14" xfId="0" applyFont="1" applyFill="1" applyBorder="1" applyAlignment="1"/>
    <xf numFmtId="187" fontId="17" fillId="32" borderId="13" xfId="0" applyNumberFormat="1" applyFont="1" applyFill="1" applyBorder="1" applyAlignment="1"/>
    <xf numFmtId="188" fontId="29" fillId="31" borderId="10" xfId="0" applyNumberFormat="1" applyFont="1" applyFill="1" applyBorder="1" applyAlignment="1"/>
    <xf numFmtId="188" fontId="29" fillId="31" borderId="9" xfId="0" applyNumberFormat="1" applyFont="1" applyFill="1" applyBorder="1" applyAlignment="1"/>
    <xf numFmtId="189" fontId="29" fillId="31" borderId="9" xfId="0" applyNumberFormat="1" applyFont="1" applyFill="1" applyBorder="1" applyAlignment="1"/>
    <xf numFmtId="0" fontId="29" fillId="31" borderId="9" xfId="0" applyFont="1" applyFill="1" applyBorder="1" applyAlignment="1"/>
    <xf numFmtId="187" fontId="29" fillId="31" borderId="9" xfId="0" applyNumberFormat="1" applyFont="1" applyFill="1" applyBorder="1" applyAlignment="1"/>
    <xf numFmtId="187" fontId="17" fillId="31" borderId="8" xfId="0" applyNumberFormat="1" applyFont="1" applyFill="1" applyBorder="1" applyAlignment="1"/>
    <xf numFmtId="189" fontId="29" fillId="2" borderId="10" xfId="0" applyNumberFormat="1" applyFont="1" applyFill="1" applyBorder="1" applyAlignment="1"/>
    <xf numFmtId="187" fontId="31" fillId="2" borderId="9" xfId="0" applyNumberFormat="1" applyFont="1" applyFill="1" applyBorder="1" applyAlignment="1"/>
    <xf numFmtId="191" fontId="22" fillId="2" borderId="15" xfId="0" applyNumberFormat="1" applyFont="1" applyFill="1" applyBorder="1" applyAlignment="1">
      <alignment horizontal="right"/>
    </xf>
    <xf numFmtId="0" fontId="22" fillId="0" borderId="15" xfId="0" applyFont="1" applyBorder="1" applyAlignment="1">
      <alignment horizontal="center"/>
    </xf>
    <xf numFmtId="0" fontId="22" fillId="0" borderId="14" xfId="0" quotePrefix="1" applyFont="1" applyBorder="1" applyAlignment="1"/>
    <xf numFmtId="0" fontId="22" fillId="0" borderId="15" xfId="0" applyFont="1" applyBorder="1" applyAlignment="1">
      <alignment horizontal="center" wrapText="1"/>
    </xf>
    <xf numFmtId="0" fontId="30" fillId="21" borderId="14" xfId="0" quotePrefix="1" applyFont="1" applyFill="1" applyBorder="1" applyAlignment="1"/>
    <xf numFmtId="0" fontId="28" fillId="2" borderId="14" xfId="0" applyFont="1" applyFill="1" applyBorder="1" applyAlignment="1"/>
    <xf numFmtId="188" fontId="29" fillId="23" borderId="15" xfId="0" applyNumberFormat="1" applyFont="1" applyFill="1" applyBorder="1" applyAlignment="1"/>
    <xf numFmtId="0" fontId="28" fillId="23" borderId="15" xfId="0" applyFont="1" applyFill="1" applyBorder="1" applyAlignment="1">
      <alignment horizontal="center"/>
    </xf>
    <xf numFmtId="0" fontId="30" fillId="23" borderId="14" xfId="0" applyFont="1" applyFill="1" applyBorder="1" applyAlignment="1"/>
    <xf numFmtId="187" fontId="22" fillId="0" borderId="15" xfId="0" applyNumberFormat="1" applyFont="1" applyBorder="1" applyAlignment="1">
      <alignment horizontal="center"/>
    </xf>
    <xf numFmtId="0" fontId="40" fillId="2" borderId="14" xfId="0" applyFont="1" applyFill="1" applyBorder="1" applyAlignment="1"/>
    <xf numFmtId="187" fontId="22" fillId="0" borderId="15" xfId="0" applyNumberFormat="1" applyFont="1" applyBorder="1" applyAlignment="1">
      <alignment horizontal="center" wrapText="1"/>
    </xf>
    <xf numFmtId="188" fontId="28" fillId="2" borderId="15" xfId="0" applyNumberFormat="1" applyFont="1" applyFill="1" applyBorder="1" applyAlignment="1">
      <alignment horizontal="right"/>
    </xf>
    <xf numFmtId="187" fontId="28" fillId="2" borderId="15" xfId="0" applyNumberFormat="1" applyFont="1" applyFill="1" applyBorder="1" applyAlignment="1">
      <alignment horizontal="center"/>
    </xf>
    <xf numFmtId="0" fontId="30" fillId="2" borderId="14" xfId="0" applyFont="1" applyFill="1" applyBorder="1" applyAlignment="1"/>
    <xf numFmtId="188" fontId="29" fillId="30" borderId="15" xfId="0" applyNumberFormat="1" applyFont="1" applyFill="1" applyBorder="1" applyAlignment="1"/>
    <xf numFmtId="189" fontId="29" fillId="30" borderId="15" xfId="0" applyNumberFormat="1" applyFont="1" applyFill="1" applyBorder="1" applyAlignment="1"/>
    <xf numFmtId="0" fontId="29" fillId="30" borderId="15" xfId="0" applyFont="1" applyFill="1" applyBorder="1" applyAlignment="1"/>
    <xf numFmtId="0" fontId="29" fillId="30" borderId="14" xfId="0" applyFont="1" applyFill="1" applyBorder="1" applyAlignment="1"/>
    <xf numFmtId="187" fontId="29" fillId="30" borderId="14" xfId="0" applyNumberFormat="1" applyFont="1" applyFill="1" applyBorder="1" applyAlignment="1"/>
    <xf numFmtId="0" fontId="28" fillId="30" borderId="14" xfId="0" applyFont="1" applyFill="1" applyBorder="1" applyAlignment="1"/>
    <xf numFmtId="187" fontId="29" fillId="30" borderId="13" xfId="0" applyNumberFormat="1" applyFont="1" applyFill="1" applyBorder="1" applyAlignment="1"/>
    <xf numFmtId="188" fontId="29" fillId="23" borderId="18" xfId="0" applyNumberFormat="1" applyFont="1" applyFill="1" applyBorder="1" applyAlignment="1"/>
    <xf numFmtId="0" fontId="28" fillId="21" borderId="14" xfId="0" applyFont="1" applyFill="1" applyBorder="1" applyAlignment="1"/>
    <xf numFmtId="0" fontId="28" fillId="30" borderId="15" xfId="0" applyFont="1" applyFill="1" applyBorder="1" applyAlignment="1">
      <alignment horizontal="center" wrapText="1"/>
    </xf>
    <xf numFmtId="188" fontId="29" fillId="29" borderId="15" xfId="0" applyNumberFormat="1" applyFont="1" applyFill="1" applyBorder="1" applyAlignment="1"/>
    <xf numFmtId="189" fontId="29" fillId="29" borderId="15" xfId="0" applyNumberFormat="1" applyFont="1" applyFill="1" applyBorder="1" applyAlignment="1"/>
    <xf numFmtId="0" fontId="29" fillId="29" borderId="14" xfId="0" applyFont="1" applyFill="1" applyBorder="1" applyAlignment="1"/>
    <xf numFmtId="187" fontId="29" fillId="29" borderId="14" xfId="0" applyNumberFormat="1" applyFont="1" applyFill="1" applyBorder="1" applyAlignment="1"/>
    <xf numFmtId="187" fontId="28" fillId="29" borderId="13" xfId="0" applyNumberFormat="1" applyFont="1" applyFill="1" applyBorder="1" applyAlignment="1"/>
    <xf numFmtId="189" fontId="22" fillId="34" borderId="15" xfId="0" applyNumberFormat="1" applyFont="1" applyFill="1" applyBorder="1" applyAlignment="1">
      <alignment horizontal="right"/>
    </xf>
    <xf numFmtId="0" fontId="22" fillId="2" borderId="15" xfId="0" applyFont="1" applyFill="1" applyBorder="1" applyAlignment="1">
      <alignment horizontal="center"/>
    </xf>
    <xf numFmtId="188" fontId="28" fillId="30" borderId="15" xfId="0" applyNumberFormat="1" applyFont="1" applyFill="1" applyBorder="1" applyAlignment="1">
      <alignment horizontal="right"/>
    </xf>
    <xf numFmtId="189" fontId="28" fillId="30" borderId="15" xfId="0" applyNumberFormat="1" applyFont="1" applyFill="1" applyBorder="1" applyAlignment="1">
      <alignment horizontal="right"/>
    </xf>
    <xf numFmtId="190" fontId="29" fillId="30" borderId="14" xfId="0" applyNumberFormat="1" applyFont="1" applyFill="1" applyBorder="1" applyAlignment="1"/>
    <xf numFmtId="190" fontId="29" fillId="30" borderId="13" xfId="0" applyNumberFormat="1" applyFont="1" applyFill="1" applyBorder="1" applyAlignment="1"/>
    <xf numFmtId="0" fontId="16" fillId="2" borderId="15" xfId="0" applyFont="1" applyFill="1" applyBorder="1" applyAlignment="1">
      <alignment horizontal="center"/>
    </xf>
    <xf numFmtId="0" fontId="29" fillId="29" borderId="15" xfId="0" applyFont="1" applyFill="1" applyBorder="1" applyAlignment="1"/>
    <xf numFmtId="188" fontId="29" fillId="28" borderId="10" xfId="0" applyNumberFormat="1" applyFont="1" applyFill="1" applyBorder="1" applyAlignment="1"/>
    <xf numFmtId="188" fontId="29" fillId="28" borderId="9" xfId="0" applyNumberFormat="1" applyFont="1" applyFill="1" applyBorder="1" applyAlignment="1"/>
    <xf numFmtId="189" fontId="29" fillId="28" borderId="9" xfId="0" applyNumberFormat="1" applyFont="1" applyFill="1" applyBorder="1" applyAlignment="1"/>
    <xf numFmtId="0" fontId="29" fillId="28" borderId="9" xfId="0" applyFont="1" applyFill="1" applyBorder="1" applyAlignment="1"/>
    <xf numFmtId="187" fontId="29" fillId="28" borderId="9" xfId="0" applyNumberFormat="1" applyFont="1" applyFill="1" applyBorder="1" applyAlignment="1"/>
    <xf numFmtId="187" fontId="28" fillId="28" borderId="8" xfId="0" applyNumberFormat="1" applyFont="1" applyFill="1" applyBorder="1" applyAlignment="1"/>
    <xf numFmtId="188" fontId="29" fillId="8" borderId="10" xfId="0" applyNumberFormat="1" applyFont="1" applyFill="1" applyBorder="1" applyAlignment="1"/>
    <xf numFmtId="189" fontId="29" fillId="8" borderId="10" xfId="0" applyNumberFormat="1" applyFont="1" applyFill="1" applyBorder="1" applyAlignment="1"/>
    <xf numFmtId="0" fontId="29" fillId="8" borderId="10" xfId="0" applyFont="1" applyFill="1" applyBorder="1" applyAlignment="1"/>
    <xf numFmtId="0" fontId="29" fillId="8" borderId="9" xfId="0" applyFont="1" applyFill="1" applyBorder="1" applyAlignment="1"/>
    <xf numFmtId="187" fontId="29" fillId="8" borderId="9" xfId="0" applyNumberFormat="1" applyFont="1" applyFill="1" applyBorder="1" applyAlignment="1"/>
    <xf numFmtId="187" fontId="29" fillId="8" borderId="8" xfId="0" applyNumberFormat="1" applyFont="1" applyFill="1" applyBorder="1" applyAlignment="1"/>
    <xf numFmtId="188" fontId="29" fillId="8" borderId="15" xfId="0" applyNumberFormat="1" applyFont="1" applyFill="1" applyBorder="1" applyAlignment="1"/>
    <xf numFmtId="189" fontId="29" fillId="8" borderId="15" xfId="0" applyNumberFormat="1" applyFont="1" applyFill="1" applyBorder="1" applyAlignment="1"/>
    <xf numFmtId="0" fontId="29" fillId="8" borderId="15" xfId="0" applyFont="1" applyFill="1" applyBorder="1" applyAlignment="1"/>
    <xf numFmtId="0" fontId="29" fillId="8" borderId="14" xfId="0" applyFont="1" applyFill="1" applyBorder="1" applyAlignment="1"/>
    <xf numFmtId="187" fontId="29" fillId="8" borderId="14" xfId="0" applyNumberFormat="1" applyFont="1" applyFill="1" applyBorder="1" applyAlignment="1"/>
    <xf numFmtId="187" fontId="29" fillId="8" borderId="13" xfId="0" applyNumberFormat="1" applyFont="1" applyFill="1" applyBorder="1" applyAlignment="1"/>
    <xf numFmtId="188" fontId="22" fillId="0" borderId="15" xfId="0" applyNumberFormat="1" applyFont="1" applyBorder="1" applyAlignment="1">
      <alignment horizontal="right"/>
    </xf>
    <xf numFmtId="189" fontId="22" fillId="0" borderId="15" xfId="0" applyNumberFormat="1" applyFont="1" applyBorder="1" applyAlignment="1">
      <alignment horizontal="right"/>
    </xf>
    <xf numFmtId="0" fontId="28" fillId="0" borderId="14" xfId="0" applyFont="1" applyBorder="1" applyAlignment="1"/>
    <xf numFmtId="188" fontId="28" fillId="0" borderId="15" xfId="0" applyNumberFormat="1" applyFont="1" applyBorder="1" applyAlignment="1">
      <alignment horizontal="right"/>
    </xf>
    <xf numFmtId="189" fontId="28" fillId="2" borderId="15" xfId="0" applyNumberFormat="1" applyFont="1" applyFill="1" applyBorder="1" applyAlignment="1">
      <alignment horizontal="right"/>
    </xf>
    <xf numFmtId="0" fontId="28" fillId="0" borderId="15" xfId="0" applyFont="1" applyBorder="1" applyAlignment="1">
      <alignment horizontal="center" wrapText="1"/>
    </xf>
    <xf numFmtId="188" fontId="29" fillId="27" borderId="15" xfId="0" applyNumberFormat="1" applyFont="1" applyFill="1" applyBorder="1" applyAlignment="1"/>
    <xf numFmtId="188" fontId="28" fillId="27" borderId="15" xfId="0" applyNumberFormat="1" applyFont="1" applyFill="1" applyBorder="1" applyAlignment="1">
      <alignment horizontal="right"/>
    </xf>
    <xf numFmtId="189" fontId="28" fillId="27" borderId="15" xfId="0" applyNumberFormat="1" applyFont="1" applyFill="1" applyBorder="1" applyAlignment="1">
      <alignment horizontal="right"/>
    </xf>
    <xf numFmtId="0" fontId="28" fillId="27" borderId="15" xfId="0" applyFont="1" applyFill="1" applyBorder="1" applyAlignment="1">
      <alignment horizontal="center" wrapText="1"/>
    </xf>
    <xf numFmtId="0" fontId="29" fillId="27" borderId="15" xfId="0" applyFont="1" applyFill="1" applyBorder="1" applyAlignment="1"/>
    <xf numFmtId="0" fontId="29" fillId="27" borderId="14" xfId="0" applyFont="1" applyFill="1" applyBorder="1" applyAlignment="1"/>
    <xf numFmtId="187" fontId="29" fillId="27" borderId="14" xfId="0" applyNumberFormat="1" applyFont="1" applyFill="1" applyBorder="1" applyAlignment="1"/>
    <xf numFmtId="190" fontId="29" fillId="27" borderId="13" xfId="0" applyNumberFormat="1" applyFont="1" applyFill="1" applyBorder="1" applyAlignment="1"/>
    <xf numFmtId="0" fontId="28" fillId="27" borderId="14" xfId="0" applyFont="1" applyFill="1" applyBorder="1" applyAlignment="1"/>
    <xf numFmtId="188" fontId="29" fillId="26" borderId="15" xfId="0" applyNumberFormat="1" applyFont="1" applyFill="1" applyBorder="1" applyAlignment="1"/>
    <xf numFmtId="189" fontId="29" fillId="26" borderId="15" xfId="0" applyNumberFormat="1" applyFont="1" applyFill="1" applyBorder="1" applyAlignment="1"/>
    <xf numFmtId="189" fontId="29" fillId="26" borderId="14" xfId="0" applyNumberFormat="1" applyFont="1" applyFill="1" applyBorder="1" applyAlignment="1"/>
    <xf numFmtId="0" fontId="29" fillId="26" borderId="14" xfId="0" applyFont="1" applyFill="1" applyBorder="1" applyAlignment="1"/>
    <xf numFmtId="187" fontId="29" fillId="26" borderId="14" xfId="0" applyNumberFormat="1" applyFont="1" applyFill="1" applyBorder="1" applyAlignment="1"/>
    <xf numFmtId="187" fontId="28" fillId="26" borderId="13" xfId="0" applyNumberFormat="1" applyFont="1" applyFill="1" applyBorder="1" applyAlignment="1"/>
    <xf numFmtId="188" fontId="29" fillId="25" borderId="10" xfId="0" applyNumberFormat="1" applyFont="1" applyFill="1" applyBorder="1" applyAlignment="1"/>
    <xf numFmtId="188" fontId="29" fillId="25" borderId="9" xfId="0" applyNumberFormat="1" applyFont="1" applyFill="1" applyBorder="1" applyAlignment="1"/>
    <xf numFmtId="189" fontId="29" fillId="25" borderId="9" xfId="0" applyNumberFormat="1" applyFont="1" applyFill="1" applyBorder="1" applyAlignment="1"/>
    <xf numFmtId="0" fontId="29" fillId="25" borderId="9" xfId="0" applyFont="1" applyFill="1" applyBorder="1" applyAlignment="1"/>
    <xf numFmtId="187" fontId="29" fillId="25" borderId="9" xfId="0" applyNumberFormat="1" applyFont="1" applyFill="1" applyBorder="1" applyAlignment="1"/>
    <xf numFmtId="187" fontId="26" fillId="25" borderId="8" xfId="0" applyNumberFormat="1" applyFont="1" applyFill="1" applyBorder="1" applyAlignment="1"/>
    <xf numFmtId="188" fontId="29" fillId="0" borderId="10" xfId="0" applyNumberFormat="1" applyFont="1" applyBorder="1" applyAlignment="1"/>
    <xf numFmtId="188" fontId="16" fillId="0" borderId="10" xfId="0" applyNumberFormat="1" applyFont="1" applyBorder="1" applyAlignment="1">
      <alignment horizontal="right"/>
    </xf>
    <xf numFmtId="0" fontId="16" fillId="2" borderId="10" xfId="0" applyFont="1" applyFill="1" applyBorder="1" applyAlignment="1">
      <alignment horizontal="center"/>
    </xf>
    <xf numFmtId="0" fontId="29" fillId="0" borderId="10" xfId="0" applyFont="1" applyBorder="1" applyAlignment="1"/>
    <xf numFmtId="0" fontId="29" fillId="0" borderId="9" xfId="0" applyFont="1" applyBorder="1" applyAlignment="1"/>
    <xf numFmtId="0" fontId="16" fillId="0" borderId="9" xfId="0" quotePrefix="1" applyFont="1" applyBorder="1" applyAlignment="1"/>
    <xf numFmtId="187" fontId="29" fillId="0" borderId="8" xfId="0" applyNumberFormat="1" applyFont="1" applyBorder="1" applyAlignment="1"/>
    <xf numFmtId="188" fontId="29" fillId="21" borderId="15" xfId="0" applyNumberFormat="1" applyFont="1" applyFill="1" applyBorder="1" applyAlignment="1"/>
    <xf numFmtId="188" fontId="17" fillId="21" borderId="15" xfId="0" applyNumberFormat="1" applyFont="1" applyFill="1" applyBorder="1" applyAlignment="1">
      <alignment horizontal="right"/>
    </xf>
    <xf numFmtId="189" fontId="29" fillId="21" borderId="15" xfId="0" applyNumberFormat="1" applyFont="1" applyFill="1" applyBorder="1" applyAlignment="1"/>
    <xf numFmtId="0" fontId="17" fillId="21" borderId="15" xfId="0" applyFont="1" applyFill="1" applyBorder="1" applyAlignment="1">
      <alignment horizontal="center" wrapText="1"/>
    </xf>
    <xf numFmtId="187" fontId="29" fillId="21" borderId="14" xfId="0" applyNumberFormat="1" applyFont="1" applyFill="1" applyBorder="1" applyAlignment="1"/>
    <xf numFmtId="0" fontId="17" fillId="21" borderId="14" xfId="0" applyFont="1" applyFill="1" applyBorder="1" applyAlignment="1"/>
    <xf numFmtId="187" fontId="29" fillId="21" borderId="13" xfId="0" applyNumberFormat="1" applyFont="1" applyFill="1" applyBorder="1" applyAlignment="1"/>
    <xf numFmtId="188" fontId="29" fillId="22" borderId="15" xfId="0" applyNumberFormat="1" applyFont="1" applyFill="1" applyBorder="1" applyAlignment="1"/>
    <xf numFmtId="189" fontId="29" fillId="22" borderId="15" xfId="0" applyNumberFormat="1" applyFont="1" applyFill="1" applyBorder="1" applyAlignment="1"/>
    <xf numFmtId="0" fontId="29" fillId="22" borderId="15" xfId="0" applyFont="1" applyFill="1" applyBorder="1" applyAlignment="1"/>
    <xf numFmtId="0" fontId="29" fillId="22" borderId="14" xfId="0" applyFont="1" applyFill="1" applyBorder="1" applyAlignment="1"/>
    <xf numFmtId="187" fontId="29" fillId="22" borderId="14" xfId="0" applyNumberFormat="1" applyFont="1" applyFill="1" applyBorder="1" applyAlignment="1"/>
    <xf numFmtId="187" fontId="17" fillId="22" borderId="13" xfId="0" applyNumberFormat="1" applyFont="1" applyFill="1" applyBorder="1" applyAlignment="1"/>
    <xf numFmtId="0" fontId="16" fillId="0" borderId="15" xfId="0" applyFont="1" applyBorder="1" applyAlignment="1">
      <alignment horizontal="center"/>
    </xf>
    <xf numFmtId="0" fontId="16" fillId="0" borderId="14" xfId="0" quotePrefix="1" applyFont="1" applyBorder="1" applyAlignment="1"/>
    <xf numFmtId="187" fontId="16" fillId="0" borderId="14" xfId="0" quotePrefix="1" applyNumberFormat="1" applyFont="1" applyBorder="1" applyAlignment="1"/>
    <xf numFmtId="187" fontId="17" fillId="2" borderId="14" xfId="0" applyNumberFormat="1" applyFont="1" applyFill="1" applyBorder="1" applyAlignment="1"/>
    <xf numFmtId="188" fontId="16" fillId="34" borderId="15" xfId="0" applyNumberFormat="1" applyFont="1" applyFill="1" applyBorder="1" applyAlignment="1">
      <alignment horizontal="right"/>
    </xf>
    <xf numFmtId="187" fontId="17" fillId="0" borderId="15" xfId="0" applyNumberFormat="1" applyFont="1" applyBorder="1" applyAlignment="1">
      <alignment horizontal="center" wrapText="1"/>
    </xf>
    <xf numFmtId="0" fontId="23" fillId="2" borderId="14" xfId="0" quotePrefix="1" applyFont="1" applyFill="1" applyBorder="1" applyAlignment="1"/>
    <xf numFmtId="188" fontId="17" fillId="23" borderId="15" xfId="0" applyNumberFormat="1" applyFont="1" applyFill="1" applyBorder="1" applyAlignment="1">
      <alignment horizontal="right"/>
    </xf>
    <xf numFmtId="189" fontId="17" fillId="23" borderId="15" xfId="0" applyNumberFormat="1" applyFont="1" applyFill="1" applyBorder="1" applyAlignment="1">
      <alignment horizontal="right"/>
    </xf>
    <xf numFmtId="0" fontId="17" fillId="23" borderId="15" xfId="0" applyFont="1" applyFill="1" applyBorder="1" applyAlignment="1">
      <alignment horizontal="center" wrapText="1"/>
    </xf>
    <xf numFmtId="0" fontId="17" fillId="23" borderId="14" xfId="0" applyFont="1" applyFill="1" applyBorder="1" applyAlignment="1"/>
    <xf numFmtId="187" fontId="22" fillId="0" borderId="14" xfId="0" quotePrefix="1" applyNumberFormat="1" applyFont="1" applyBorder="1" applyAlignment="1"/>
    <xf numFmtId="187" fontId="28" fillId="2" borderId="14" xfId="0" applyNumberFormat="1" applyFont="1" applyFill="1" applyBorder="1" applyAlignment="1"/>
    <xf numFmtId="187" fontId="28" fillId="0" borderId="15" xfId="0" applyNumberFormat="1" applyFont="1" applyBorder="1" applyAlignment="1">
      <alignment horizontal="center" wrapText="1"/>
    </xf>
    <xf numFmtId="0" fontId="28" fillId="23" borderId="14" xfId="0" applyFont="1" applyFill="1" applyBorder="1" applyAlignment="1"/>
    <xf numFmtId="188" fontId="22" fillId="34" borderId="15" xfId="0" applyNumberFormat="1" applyFont="1" applyFill="1" applyBorder="1" applyAlignment="1">
      <alignment horizontal="right"/>
    </xf>
    <xf numFmtId="0" fontId="30" fillId="2" borderId="14" xfId="0" quotePrefix="1" applyFont="1" applyFill="1" applyBorder="1" applyAlignment="1"/>
    <xf numFmtId="0" fontId="22" fillId="0" borderId="15" xfId="0" applyFont="1" applyBorder="1" applyAlignment="1"/>
    <xf numFmtId="188" fontId="28" fillId="34" borderId="15" xfId="0" applyNumberFormat="1" applyFont="1" applyFill="1" applyBorder="1" applyAlignment="1">
      <alignment horizontal="right"/>
    </xf>
    <xf numFmtId="188" fontId="28" fillId="21" borderId="15" xfId="0" applyNumberFormat="1" applyFont="1" applyFill="1" applyBorder="1" applyAlignment="1">
      <alignment horizontal="right"/>
    </xf>
    <xf numFmtId="189" fontId="28" fillId="21" borderId="15" xfId="0" applyNumberFormat="1" applyFont="1" applyFill="1" applyBorder="1" applyAlignment="1">
      <alignment horizontal="right"/>
    </xf>
    <xf numFmtId="0" fontId="28" fillId="21" borderId="15" xfId="0" applyFont="1" applyFill="1" applyBorder="1" applyAlignment="1">
      <alignment horizontal="center" wrapText="1"/>
    </xf>
    <xf numFmtId="187" fontId="16" fillId="2" borderId="14" xfId="0" applyNumberFormat="1" applyFont="1" applyFill="1" applyBorder="1" applyAlignment="1"/>
    <xf numFmtId="187" fontId="22" fillId="2" borderId="14" xfId="0" applyNumberFormat="1" applyFont="1" applyFill="1" applyBorder="1" applyAlignment="1"/>
    <xf numFmtId="187" fontId="29" fillId="0" borderId="15" xfId="0" applyNumberFormat="1" applyFont="1" applyBorder="1" applyAlignment="1"/>
    <xf numFmtId="187" fontId="28" fillId="22" borderId="13" xfId="0" applyNumberFormat="1" applyFont="1" applyFill="1" applyBorder="1" applyAlignment="1"/>
    <xf numFmtId="188" fontId="29" fillId="7" borderId="10" xfId="0" applyNumberFormat="1" applyFont="1" applyFill="1" applyBorder="1" applyAlignment="1"/>
    <xf numFmtId="188" fontId="29" fillId="7" borderId="9" xfId="0" applyNumberFormat="1" applyFont="1" applyFill="1" applyBorder="1" applyAlignment="1"/>
    <xf numFmtId="189" fontId="29" fillId="7" borderId="9" xfId="0" applyNumberFormat="1" applyFont="1" applyFill="1" applyBorder="1" applyAlignment="1"/>
    <xf numFmtId="0" fontId="29" fillId="7" borderId="9" xfId="0" applyFont="1" applyFill="1" applyBorder="1" applyAlignment="1"/>
    <xf numFmtId="187" fontId="29" fillId="7" borderId="9" xfId="0" applyNumberFormat="1" applyFont="1" applyFill="1" applyBorder="1" applyAlignment="1"/>
    <xf numFmtId="187" fontId="28" fillId="7" borderId="8" xfId="0" applyNumberFormat="1" applyFont="1" applyFill="1" applyBorder="1" applyAlignment="1"/>
    <xf numFmtId="187" fontId="16" fillId="0" borderId="10" xfId="0" applyNumberFormat="1" applyFont="1" applyBorder="1" applyAlignment="1">
      <alignment horizontal="center"/>
    </xf>
    <xf numFmtId="0" fontId="16" fillId="2" borderId="9" xfId="0" applyFont="1" applyFill="1" applyBorder="1" applyAlignment="1"/>
    <xf numFmtId="190" fontId="29" fillId="2" borderId="8" xfId="0" applyNumberFormat="1" applyFont="1" applyFill="1" applyBorder="1" applyAlignment="1"/>
    <xf numFmtId="188" fontId="29" fillId="10" borderId="15" xfId="0" applyNumberFormat="1" applyFont="1" applyFill="1" applyBorder="1" applyAlignment="1"/>
    <xf numFmtId="188" fontId="28" fillId="10" borderId="15" xfId="0" applyNumberFormat="1" applyFont="1" applyFill="1" applyBorder="1" applyAlignment="1">
      <alignment horizontal="right"/>
    </xf>
    <xf numFmtId="189" fontId="28" fillId="10" borderId="15" xfId="0" applyNumberFormat="1" applyFont="1" applyFill="1" applyBorder="1" applyAlignment="1">
      <alignment horizontal="right"/>
    </xf>
    <xf numFmtId="187" fontId="28" fillId="10" borderId="15" xfId="0" applyNumberFormat="1" applyFont="1" applyFill="1" applyBorder="1" applyAlignment="1">
      <alignment horizontal="center"/>
    </xf>
    <xf numFmtId="0" fontId="29" fillId="10" borderId="15" xfId="0" applyFont="1" applyFill="1" applyBorder="1" applyAlignment="1"/>
    <xf numFmtId="0" fontId="29" fillId="10" borderId="14" xfId="0" applyFont="1" applyFill="1" applyBorder="1" applyAlignment="1"/>
    <xf numFmtId="0" fontId="28" fillId="10" borderId="14" xfId="0" applyFont="1" applyFill="1" applyBorder="1" applyAlignment="1"/>
    <xf numFmtId="190" fontId="29" fillId="10" borderId="13" xfId="0" applyNumberFormat="1" applyFont="1" applyFill="1" applyBorder="1" applyAlignment="1"/>
    <xf numFmtId="188" fontId="29" fillId="20" borderId="15" xfId="0" applyNumberFormat="1" applyFont="1" applyFill="1" applyBorder="1" applyAlignment="1"/>
    <xf numFmtId="188" fontId="29" fillId="20" borderId="14" xfId="0" applyNumberFormat="1" applyFont="1" applyFill="1" applyBorder="1" applyAlignment="1"/>
    <xf numFmtId="189" fontId="29" fillId="20" borderId="14" xfId="0" applyNumberFormat="1" applyFont="1" applyFill="1" applyBorder="1" applyAlignment="1"/>
    <xf numFmtId="0" fontId="29" fillId="20" borderId="14" xfId="0" applyFont="1" applyFill="1" applyBorder="1" applyAlignment="1"/>
    <xf numFmtId="190" fontId="29" fillId="20" borderId="14" xfId="0" applyNumberFormat="1" applyFont="1" applyFill="1" applyBorder="1" applyAlignment="1"/>
    <xf numFmtId="187" fontId="28" fillId="20" borderId="13" xfId="0" applyNumberFormat="1" applyFont="1" applyFill="1" applyBorder="1" applyAlignment="1"/>
    <xf numFmtId="0" fontId="28" fillId="10" borderId="15" xfId="0" applyFont="1" applyFill="1" applyBorder="1" applyAlignment="1">
      <alignment horizontal="center" wrapText="1"/>
    </xf>
    <xf numFmtId="187" fontId="29" fillId="10" borderId="14" xfId="0" applyNumberFormat="1" applyFont="1" applyFill="1" applyBorder="1" applyAlignment="1"/>
    <xf numFmtId="190" fontId="29" fillId="10" borderId="14" xfId="0" applyNumberFormat="1" applyFont="1" applyFill="1" applyBorder="1" applyAlignment="1"/>
    <xf numFmtId="190" fontId="28" fillId="10" borderId="14" xfId="0" applyNumberFormat="1" applyFont="1" applyFill="1" applyBorder="1" applyAlignment="1"/>
    <xf numFmtId="189" fontId="29" fillId="10" borderId="15" xfId="0" applyNumberFormat="1" applyFont="1" applyFill="1" applyBorder="1" applyAlignment="1"/>
    <xf numFmtId="189" fontId="29" fillId="10" borderId="14" xfId="0" applyNumberFormat="1" applyFont="1" applyFill="1" applyBorder="1" applyAlignment="1"/>
    <xf numFmtId="188" fontId="22" fillId="8" borderId="15" xfId="0" applyNumberFormat="1" applyFont="1" applyFill="1" applyBorder="1" applyAlignment="1">
      <alignment horizontal="right"/>
    </xf>
    <xf numFmtId="187" fontId="22" fillId="8" borderId="15" xfId="0" applyNumberFormat="1" applyFont="1" applyFill="1" applyBorder="1" applyAlignment="1">
      <alignment horizontal="center"/>
    </xf>
    <xf numFmtId="0" fontId="22" fillId="8" borderId="14" xfId="0" applyFont="1" applyFill="1" applyBorder="1" applyAlignment="1"/>
    <xf numFmtId="190" fontId="29" fillId="8" borderId="13" xfId="0" applyNumberFormat="1" applyFont="1" applyFill="1" applyBorder="1" applyAlignment="1"/>
    <xf numFmtId="0" fontId="40" fillId="8" borderId="14" xfId="0" applyFont="1" applyFill="1" applyBorder="1" applyAlignment="1"/>
    <xf numFmtId="187" fontId="22" fillId="8" borderId="15" xfId="0" applyNumberFormat="1" applyFont="1" applyFill="1" applyBorder="1" applyAlignment="1">
      <alignment horizontal="center" wrapText="1"/>
    </xf>
    <xf numFmtId="188" fontId="28" fillId="8" borderId="15" xfId="0" applyNumberFormat="1" applyFont="1" applyFill="1" applyBorder="1" applyAlignment="1">
      <alignment horizontal="right"/>
    </xf>
    <xf numFmtId="187" fontId="28" fillId="8" borderId="15" xfId="0" applyNumberFormat="1" applyFont="1" applyFill="1" applyBorder="1" applyAlignment="1">
      <alignment horizontal="center"/>
    </xf>
    <xf numFmtId="0" fontId="30" fillId="8" borderId="14" xfId="0" applyFont="1" applyFill="1" applyBorder="1" applyAlignment="1"/>
    <xf numFmtId="0" fontId="28" fillId="8" borderId="14" xfId="0" applyFont="1" applyFill="1" applyBorder="1" applyAlignment="1"/>
    <xf numFmtId="189" fontId="22" fillId="8" borderId="15" xfId="0" applyNumberFormat="1" applyFont="1" applyFill="1" applyBorder="1" applyAlignment="1">
      <alignment horizontal="right"/>
    </xf>
    <xf numFmtId="190" fontId="29" fillId="8" borderId="14" xfId="0" applyNumberFormat="1" applyFont="1" applyFill="1" applyBorder="1" applyAlignment="1"/>
    <xf numFmtId="188" fontId="29" fillId="8" borderId="14" xfId="0" applyNumberFormat="1" applyFont="1" applyFill="1" applyBorder="1" applyAlignment="1"/>
    <xf numFmtId="189" fontId="29" fillId="8" borderId="14" xfId="0" applyNumberFormat="1" applyFont="1" applyFill="1" applyBorder="1" applyAlignment="1"/>
    <xf numFmtId="187" fontId="28" fillId="8" borderId="13" xfId="0" applyNumberFormat="1" applyFont="1" applyFill="1" applyBorder="1" applyAlignment="1"/>
    <xf numFmtId="189" fontId="29" fillId="20" borderId="15" xfId="0" applyNumberFormat="1" applyFont="1" applyFill="1" applyBorder="1" applyAlignment="1"/>
    <xf numFmtId="0" fontId="29" fillId="20" borderId="15" xfId="0" applyFont="1" applyFill="1" applyBorder="1" applyAlignment="1"/>
    <xf numFmtId="187" fontId="29" fillId="20" borderId="14" xfId="0" applyNumberFormat="1" applyFont="1" applyFill="1" applyBorder="1" applyAlignment="1"/>
    <xf numFmtId="188" fontId="29" fillId="19" borderId="10" xfId="0" applyNumberFormat="1" applyFont="1" applyFill="1" applyBorder="1" applyAlignment="1"/>
    <xf numFmtId="188" fontId="29" fillId="19" borderId="9" xfId="0" applyNumberFormat="1" applyFont="1" applyFill="1" applyBorder="1" applyAlignment="1"/>
    <xf numFmtId="189" fontId="29" fillId="19" borderId="9" xfId="0" applyNumberFormat="1" applyFont="1" applyFill="1" applyBorder="1" applyAlignment="1"/>
    <xf numFmtId="0" fontId="29" fillId="19" borderId="9" xfId="0" applyFont="1" applyFill="1" applyBorder="1" applyAlignment="1"/>
    <xf numFmtId="187" fontId="29" fillId="19" borderId="9" xfId="0" applyNumberFormat="1" applyFont="1" applyFill="1" applyBorder="1" applyAlignment="1"/>
    <xf numFmtId="187" fontId="28" fillId="19" borderId="8" xfId="0" applyNumberFormat="1" applyFont="1" applyFill="1" applyBorder="1" applyAlignment="1"/>
    <xf numFmtId="188" fontId="22" fillId="2" borderId="10" xfId="0" applyNumberFormat="1" applyFont="1" applyFill="1" applyBorder="1" applyAlignment="1">
      <alignment horizontal="right"/>
    </xf>
    <xf numFmtId="0" fontId="22" fillId="2" borderId="10" xfId="0" applyFont="1" applyFill="1" applyBorder="1" applyAlignment="1">
      <alignment horizontal="center"/>
    </xf>
    <xf numFmtId="0" fontId="22" fillId="2" borderId="9" xfId="0" applyFont="1" applyFill="1" applyBorder="1" applyAlignment="1"/>
    <xf numFmtId="0" fontId="29" fillId="2" borderId="8" xfId="0" applyFont="1" applyFill="1" applyBorder="1" applyAlignment="1"/>
    <xf numFmtId="0" fontId="29" fillId="2" borderId="13" xfId="0" applyFont="1" applyFill="1" applyBorder="1" applyAlignment="1"/>
    <xf numFmtId="188" fontId="22" fillId="18" borderId="15" xfId="0" applyNumberFormat="1" applyFont="1" applyFill="1" applyBorder="1" applyAlignment="1">
      <alignment horizontal="right"/>
    </xf>
    <xf numFmtId="188" fontId="29" fillId="18" borderId="15" xfId="0" applyNumberFormat="1" applyFont="1" applyFill="1" applyBorder="1" applyAlignment="1"/>
    <xf numFmtId="189" fontId="29" fillId="18" borderId="15" xfId="0" applyNumberFormat="1" applyFont="1" applyFill="1" applyBorder="1" applyAlignment="1"/>
    <xf numFmtId="0" fontId="22" fillId="18" borderId="15" xfId="0" applyFont="1" applyFill="1" applyBorder="1" applyAlignment="1">
      <alignment horizontal="center"/>
    </xf>
    <xf numFmtId="0" fontId="29" fillId="18" borderId="15" xfId="0" applyFont="1" applyFill="1" applyBorder="1" applyAlignment="1"/>
    <xf numFmtId="0" fontId="29" fillId="18" borderId="14" xfId="0" applyFont="1" applyFill="1" applyBorder="1" applyAlignment="1"/>
    <xf numFmtId="0" fontId="22" fillId="18" borderId="14" xfId="0" applyFont="1" applyFill="1" applyBorder="1" applyAlignment="1"/>
    <xf numFmtId="0" fontId="29" fillId="18" borderId="13" xfId="0" applyFont="1" applyFill="1" applyBorder="1" applyAlignment="1"/>
    <xf numFmtId="188" fontId="16" fillId="18" borderId="15" xfId="0" applyNumberFormat="1" applyFont="1" applyFill="1" applyBorder="1" applyAlignment="1">
      <alignment horizontal="right"/>
    </xf>
    <xf numFmtId="0" fontId="16" fillId="18" borderId="15" xfId="0" applyFont="1" applyFill="1" applyBorder="1" applyAlignment="1">
      <alignment horizontal="center"/>
    </xf>
    <xf numFmtId="0" fontId="16" fillId="18" borderId="14" xfId="0" applyFont="1" applyFill="1" applyBorder="1" applyAlignment="1"/>
    <xf numFmtId="188" fontId="28" fillId="18" borderId="15" xfId="0" applyNumberFormat="1" applyFont="1" applyFill="1" applyBorder="1" applyAlignment="1">
      <alignment horizontal="right"/>
    </xf>
    <xf numFmtId="0" fontId="28" fillId="18" borderId="15" xfId="0" applyFont="1" applyFill="1" applyBorder="1" applyAlignment="1">
      <alignment horizontal="center"/>
    </xf>
    <xf numFmtId="0" fontId="30" fillId="18" borderId="14" xfId="0" applyFont="1" applyFill="1" applyBorder="1" applyAlignment="1"/>
    <xf numFmtId="0" fontId="28" fillId="18" borderId="14" xfId="0" applyFont="1" applyFill="1" applyBorder="1" applyAlignment="1"/>
    <xf numFmtId="188" fontId="29" fillId="17" borderId="15" xfId="0" applyNumberFormat="1" applyFont="1" applyFill="1" applyBorder="1" applyAlignment="1"/>
    <xf numFmtId="189" fontId="29" fillId="17" borderId="15" xfId="0" applyNumberFormat="1" applyFont="1" applyFill="1" applyBorder="1" applyAlignment="1"/>
    <xf numFmtId="0" fontId="29" fillId="17" borderId="15" xfId="0" applyFont="1" applyFill="1" applyBorder="1" applyAlignment="1"/>
    <xf numFmtId="0" fontId="29" fillId="17" borderId="14" xfId="0" applyFont="1" applyFill="1" applyBorder="1" applyAlignment="1"/>
    <xf numFmtId="0" fontId="28" fillId="17" borderId="14" xfId="0" applyFont="1" applyFill="1" applyBorder="1" applyAlignment="1"/>
    <xf numFmtId="0" fontId="29" fillId="17" borderId="13" xfId="0" applyFont="1" applyFill="1" applyBorder="1" applyAlignment="1"/>
    <xf numFmtId="188" fontId="29" fillId="16" borderId="15" xfId="0" applyNumberFormat="1" applyFont="1" applyFill="1" applyBorder="1" applyAlignment="1"/>
    <xf numFmtId="189" fontId="29" fillId="16" borderId="15" xfId="0" applyNumberFormat="1" applyFont="1" applyFill="1" applyBorder="1" applyAlignment="1"/>
    <xf numFmtId="0" fontId="29" fillId="16" borderId="15" xfId="0" applyFont="1" applyFill="1" applyBorder="1" applyAlignment="1"/>
    <xf numFmtId="0" fontId="28" fillId="16" borderId="14" xfId="0" applyFont="1" applyFill="1" applyBorder="1" applyAlignment="1"/>
    <xf numFmtId="0" fontId="29" fillId="16" borderId="13" xfId="0" applyFont="1" applyFill="1" applyBorder="1" applyAlignment="1"/>
    <xf numFmtId="188" fontId="29" fillId="15" borderId="10" xfId="0" applyNumberFormat="1" applyFont="1" applyFill="1" applyBorder="1" applyAlignment="1"/>
    <xf numFmtId="188" fontId="29" fillId="15" borderId="9" xfId="0" applyNumberFormat="1" applyFont="1" applyFill="1" applyBorder="1" applyAlignment="1"/>
    <xf numFmtId="189" fontId="29" fillId="15" borderId="9" xfId="0" applyNumberFormat="1" applyFont="1" applyFill="1" applyBorder="1" applyAlignment="1"/>
    <xf numFmtId="0" fontId="29" fillId="15" borderId="9" xfId="0" applyFont="1" applyFill="1" applyBorder="1" applyAlignment="1"/>
    <xf numFmtId="0" fontId="28" fillId="15" borderId="8" xfId="0" applyFont="1" applyFill="1" applyBorder="1" applyAlignment="1"/>
    <xf numFmtId="188" fontId="22" fillId="14" borderId="15" xfId="0" applyNumberFormat="1" applyFont="1" applyFill="1" applyBorder="1" applyAlignment="1">
      <alignment horizontal="right"/>
    </xf>
    <xf numFmtId="188" fontId="29" fillId="14" borderId="15" xfId="0" applyNumberFormat="1" applyFont="1" applyFill="1" applyBorder="1" applyAlignment="1"/>
    <xf numFmtId="189" fontId="29" fillId="14" borderId="15" xfId="0" applyNumberFormat="1" applyFont="1" applyFill="1" applyBorder="1" applyAlignment="1"/>
    <xf numFmtId="0" fontId="22" fillId="14" borderId="15" xfId="0" applyFont="1" applyFill="1" applyBorder="1" applyAlignment="1">
      <alignment horizontal="center"/>
    </xf>
    <xf numFmtId="0" fontId="29" fillId="14" borderId="15" xfId="0" applyFont="1" applyFill="1" applyBorder="1" applyAlignment="1"/>
    <xf numFmtId="0" fontId="29" fillId="14" borderId="14" xfId="0" applyFont="1" applyFill="1" applyBorder="1" applyAlignment="1"/>
    <xf numFmtId="0" fontId="22" fillId="14" borderId="14" xfId="0" applyFont="1" applyFill="1" applyBorder="1" applyAlignment="1"/>
    <xf numFmtId="0" fontId="29" fillId="14" borderId="13" xfId="0" applyFont="1" applyFill="1" applyBorder="1" applyAlignment="1"/>
    <xf numFmtId="188" fontId="16" fillId="14" borderId="15" xfId="0" applyNumberFormat="1" applyFont="1" applyFill="1" applyBorder="1" applyAlignment="1">
      <alignment horizontal="right"/>
    </xf>
    <xf numFmtId="0" fontId="16" fillId="14" borderId="15" xfId="0" applyFont="1" applyFill="1" applyBorder="1" applyAlignment="1">
      <alignment horizontal="center"/>
    </xf>
    <xf numFmtId="0" fontId="16" fillId="14" borderId="14" xfId="0" applyFont="1" applyFill="1" applyBorder="1" applyAlignment="1"/>
    <xf numFmtId="188" fontId="28" fillId="14" borderId="15" xfId="0" applyNumberFormat="1" applyFont="1" applyFill="1" applyBorder="1" applyAlignment="1">
      <alignment horizontal="right"/>
    </xf>
    <xf numFmtId="0" fontId="28" fillId="14" borderId="15" xfId="0" applyFont="1" applyFill="1" applyBorder="1" applyAlignment="1">
      <alignment horizontal="center"/>
    </xf>
    <xf numFmtId="0" fontId="30" fillId="14" borderId="14" xfId="0" applyFont="1" applyFill="1" applyBorder="1" applyAlignment="1"/>
    <xf numFmtId="0" fontId="28" fillId="14" borderId="14" xfId="0" applyFont="1" applyFill="1" applyBorder="1" applyAlignment="1"/>
    <xf numFmtId="0" fontId="29" fillId="8" borderId="13" xfId="0" applyFont="1" applyFill="1" applyBorder="1" applyAlignment="1"/>
    <xf numFmtId="188" fontId="29" fillId="13" borderId="15" xfId="0" applyNumberFormat="1" applyFont="1" applyFill="1" applyBorder="1" applyAlignment="1"/>
    <xf numFmtId="189" fontId="29" fillId="13" borderId="15" xfId="0" applyNumberFormat="1" applyFont="1" applyFill="1" applyBorder="1" applyAlignment="1"/>
    <xf numFmtId="0" fontId="29" fillId="13" borderId="15" xfId="0" applyFont="1" applyFill="1" applyBorder="1" applyAlignment="1"/>
    <xf numFmtId="0" fontId="29" fillId="13" borderId="14" xfId="0" applyFont="1" applyFill="1" applyBorder="1" applyAlignment="1"/>
    <xf numFmtId="0" fontId="28" fillId="13" borderId="14" xfId="0" applyFont="1" applyFill="1" applyBorder="1" applyAlignment="1"/>
    <xf numFmtId="188" fontId="29" fillId="12" borderId="10" xfId="0" applyNumberFormat="1" applyFont="1" applyFill="1" applyBorder="1" applyAlignment="1"/>
    <xf numFmtId="188" fontId="29" fillId="12" borderId="9" xfId="0" applyNumberFormat="1" applyFont="1" applyFill="1" applyBorder="1" applyAlignment="1"/>
    <xf numFmtId="189" fontId="29" fillId="12" borderId="9" xfId="0" applyNumberFormat="1" applyFont="1" applyFill="1" applyBorder="1" applyAlignment="1"/>
    <xf numFmtId="0" fontId="29" fillId="12" borderId="9" xfId="0" applyFont="1" applyFill="1" applyBorder="1" applyAlignment="1"/>
    <xf numFmtId="0" fontId="28" fillId="12" borderId="8" xfId="0" applyFont="1" applyFill="1" applyBorder="1" applyAlignment="1"/>
    <xf numFmtId="188" fontId="28" fillId="11" borderId="10" xfId="0" applyNumberFormat="1" applyFont="1" applyFill="1" applyBorder="1" applyAlignment="1">
      <alignment horizontal="right"/>
    </xf>
    <xf numFmtId="188" fontId="29" fillId="11" borderId="10" xfId="0" applyNumberFormat="1" applyFont="1" applyFill="1" applyBorder="1" applyAlignment="1"/>
    <xf numFmtId="189" fontId="29" fillId="11" borderId="10" xfId="0" applyNumberFormat="1" applyFont="1" applyFill="1" applyBorder="1" applyAlignment="1"/>
    <xf numFmtId="0" fontId="29" fillId="11" borderId="10" xfId="0" applyFont="1" applyFill="1" applyBorder="1" applyAlignment="1"/>
    <xf numFmtId="0" fontId="29" fillId="11" borderId="9" xfId="0" applyFont="1" applyFill="1" applyBorder="1" applyAlignment="1"/>
    <xf numFmtId="0" fontId="28" fillId="11" borderId="8" xfId="0" applyFont="1" applyFill="1" applyBorder="1" applyAlignment="1"/>
    <xf numFmtId="0" fontId="29" fillId="8" borderId="8" xfId="0" applyFont="1" applyFill="1" applyBorder="1" applyAlignment="1"/>
    <xf numFmtId="0" fontId="41" fillId="0" borderId="9" xfId="0" applyFont="1" applyBorder="1"/>
    <xf numFmtId="188" fontId="22" fillId="10" borderId="15" xfId="0" applyNumberFormat="1" applyFont="1" applyFill="1" applyBorder="1" applyAlignment="1">
      <alignment horizontal="right"/>
    </xf>
    <xf numFmtId="0" fontId="22" fillId="10" borderId="15" xfId="0" applyFont="1" applyFill="1" applyBorder="1" applyAlignment="1">
      <alignment horizontal="center"/>
    </xf>
    <xf numFmtId="0" fontId="22" fillId="10" borderId="14" xfId="0" applyFont="1" applyFill="1" applyBorder="1" applyAlignment="1"/>
    <xf numFmtId="0" fontId="29" fillId="10" borderId="13" xfId="0" applyFont="1" applyFill="1" applyBorder="1" applyAlignment="1"/>
    <xf numFmtId="188" fontId="16" fillId="10" borderId="15" xfId="0" applyNumberFormat="1" applyFont="1" applyFill="1" applyBorder="1" applyAlignment="1">
      <alignment horizontal="right"/>
    </xf>
    <xf numFmtId="0" fontId="16" fillId="10" borderId="15" xfId="0" applyFont="1" applyFill="1" applyBorder="1" applyAlignment="1">
      <alignment horizontal="center"/>
    </xf>
    <xf numFmtId="0" fontId="16" fillId="10" borderId="14" xfId="0" applyFont="1" applyFill="1" applyBorder="1" applyAlignment="1"/>
    <xf numFmtId="0" fontId="28" fillId="10" borderId="15" xfId="0" applyFont="1" applyFill="1" applyBorder="1" applyAlignment="1">
      <alignment horizontal="center"/>
    </xf>
    <xf numFmtId="0" fontId="30" fillId="10" borderId="14" xfId="0" applyFont="1" applyFill="1" applyBorder="1" applyAlignment="1"/>
    <xf numFmtId="188" fontId="29" fillId="9" borderId="10" xfId="0" applyNumberFormat="1" applyFont="1" applyFill="1" applyBorder="1" applyAlignment="1"/>
    <xf numFmtId="189" fontId="29" fillId="9" borderId="10" xfId="0" applyNumberFormat="1" applyFont="1" applyFill="1" applyBorder="1" applyAlignment="1"/>
    <xf numFmtId="0" fontId="29" fillId="9" borderId="10" xfId="0" applyFont="1" applyFill="1" applyBorder="1" applyAlignment="1"/>
    <xf numFmtId="0" fontId="28" fillId="9" borderId="8" xfId="0" applyFont="1" applyFill="1" applyBorder="1" applyAlignment="1"/>
    <xf numFmtId="188" fontId="28" fillId="7" borderId="10" xfId="0" applyNumberFormat="1" applyFont="1" applyFill="1" applyBorder="1" applyAlignment="1">
      <alignment horizontal="center"/>
    </xf>
    <xf numFmtId="188" fontId="28" fillId="5" borderId="10" xfId="0" applyNumberFormat="1" applyFont="1" applyFill="1" applyBorder="1" applyAlignment="1">
      <alignment horizontal="center"/>
    </xf>
    <xf numFmtId="188" fontId="28" fillId="6" borderId="10" xfId="0" applyNumberFormat="1" applyFont="1" applyFill="1" applyBorder="1" applyAlignment="1">
      <alignment horizontal="center"/>
    </xf>
    <xf numFmtId="188" fontId="28" fillId="7" borderId="10" xfId="0" applyNumberFormat="1" applyFont="1" applyFill="1" applyBorder="1" applyAlignment="1">
      <alignment horizontal="center" wrapText="1"/>
    </xf>
    <xf numFmtId="188" fontId="28" fillId="5" borderId="10" xfId="0" applyNumberFormat="1" applyFont="1" applyFill="1" applyBorder="1" applyAlignment="1">
      <alignment horizontal="center" wrapText="1"/>
    </xf>
    <xf numFmtId="188" fontId="28" fillId="4" borderId="10" xfId="0" applyNumberFormat="1" applyFont="1" applyFill="1" applyBorder="1" applyAlignment="1">
      <alignment horizontal="center"/>
    </xf>
    <xf numFmtId="187" fontId="28" fillId="4" borderId="10" xfId="0" applyNumberFormat="1" applyFont="1" applyFill="1" applyBorder="1" applyAlignment="1">
      <alignment horizontal="center" wrapText="1"/>
    </xf>
    <xf numFmtId="0" fontId="28" fillId="3" borderId="10" xfId="0" applyFont="1" applyFill="1" applyBorder="1" applyAlignment="1">
      <alignment horizontal="center"/>
    </xf>
    <xf numFmtId="188" fontId="28" fillId="6" borderId="9" xfId="0" applyNumberFormat="1" applyFont="1" applyFill="1" applyBorder="1" applyAlignment="1">
      <alignment horizontal="center"/>
    </xf>
    <xf numFmtId="188" fontId="28" fillId="5" borderId="9" xfId="0" applyNumberFormat="1" applyFont="1" applyFill="1" applyBorder="1" applyAlignment="1">
      <alignment horizontal="center" wrapText="1"/>
    </xf>
    <xf numFmtId="0" fontId="28" fillId="4" borderId="9" xfId="0" applyFont="1" applyFill="1" applyBorder="1" applyAlignment="1">
      <alignment horizontal="center"/>
    </xf>
    <xf numFmtId="0" fontId="28" fillId="3" borderId="20" xfId="0" applyFont="1" applyFill="1" applyBorder="1" applyAlignment="1">
      <alignment horizontal="center"/>
    </xf>
    <xf numFmtId="0" fontId="3" fillId="0" borderId="20" xfId="0" applyFont="1" applyBorder="1"/>
    <xf numFmtId="0" fontId="28" fillId="3" borderId="19" xfId="0" applyFont="1" applyFill="1" applyBorder="1" applyAlignment="1">
      <alignment horizontal="center"/>
    </xf>
    <xf numFmtId="188" fontId="29" fillId="2" borderId="9" xfId="0" applyNumberFormat="1" applyFont="1" applyFill="1" applyBorder="1" applyAlignment="1"/>
    <xf numFmtId="0" fontId="28" fillId="0" borderId="0" xfId="0" applyFont="1" applyAlignment="1">
      <alignment horizontal="center"/>
    </xf>
    <xf numFmtId="189" fontId="5" fillId="34" borderId="15" xfId="0" applyNumberFormat="1" applyFont="1" applyFill="1" applyBorder="1" applyAlignment="1">
      <alignment horizontal="right"/>
    </xf>
    <xf numFmtId="0" fontId="4" fillId="21" borderId="14" xfId="0" quotePrefix="1" applyFont="1" applyFill="1" applyBorder="1" applyAlignment="1"/>
    <xf numFmtId="188" fontId="5" fillId="34" borderId="15" xfId="0" applyNumberFormat="1" applyFont="1" applyFill="1" applyBorder="1" applyAlignment="1">
      <alignment horizontal="right"/>
    </xf>
    <xf numFmtId="0" fontId="4" fillId="2" borderId="14" xfId="0" applyFont="1" applyFill="1" applyBorder="1" applyAlignment="1"/>
    <xf numFmtId="188" fontId="15" fillId="2" borderId="15" xfId="0" applyNumberFormat="1" applyFont="1" applyFill="1" applyBorder="1" applyAlignment="1"/>
    <xf numFmtId="0" fontId="15" fillId="0" borderId="15" xfId="0" applyFont="1" applyBorder="1" applyAlignment="1"/>
    <xf numFmtId="0" fontId="15" fillId="0" borderId="14" xfId="0" applyFont="1" applyBorder="1" applyAlignment="1"/>
    <xf numFmtId="187" fontId="15" fillId="0" borderId="14" xfId="0" applyNumberFormat="1" applyFont="1" applyBorder="1" applyAlignment="1"/>
    <xf numFmtId="187" fontId="15" fillId="0" borderId="13" xfId="0" applyNumberFormat="1" applyFont="1" applyBorder="1" applyAlignment="1"/>
    <xf numFmtId="188" fontId="15" fillId="0" borderId="15" xfId="0" applyNumberFormat="1" applyFont="1" applyBorder="1" applyAlignment="1"/>
    <xf numFmtId="189" fontId="15" fillId="0" borderId="15" xfId="0" applyNumberFormat="1" applyFont="1" applyBorder="1" applyAlignment="1"/>
    <xf numFmtId="0" fontId="15" fillId="21" borderId="15" xfId="0" applyFont="1" applyFill="1" applyBorder="1" applyAlignment="1"/>
    <xf numFmtId="0" fontId="15" fillId="21" borderId="14" xfId="0" applyFont="1" applyFill="1" applyBorder="1" applyAlignment="1"/>
    <xf numFmtId="0" fontId="15" fillId="2" borderId="15" xfId="0" applyFont="1" applyFill="1" applyBorder="1" applyAlignment="1"/>
    <xf numFmtId="0" fontId="15" fillId="2" borderId="14" xfId="0" applyFont="1" applyFill="1" applyBorder="1" applyAlignment="1"/>
    <xf numFmtId="187" fontId="15" fillId="2" borderId="14" xfId="0" applyNumberFormat="1" applyFont="1" applyFill="1" applyBorder="1" applyAlignment="1"/>
    <xf numFmtId="187" fontId="15" fillId="2" borderId="13" xfId="0" applyNumberFormat="1" applyFont="1" applyFill="1" applyBorder="1" applyAlignment="1"/>
    <xf numFmtId="190" fontId="15" fillId="2" borderId="13" xfId="0" applyNumberFormat="1" applyFont="1" applyFill="1" applyBorder="1" applyAlignment="1"/>
    <xf numFmtId="188" fontId="15" fillId="23" borderId="15" xfId="0" applyNumberFormat="1" applyFont="1" applyFill="1" applyBorder="1" applyAlignment="1"/>
    <xf numFmtId="0" fontId="15" fillId="23" borderId="15" xfId="0" applyFont="1" applyFill="1" applyBorder="1" applyAlignment="1"/>
    <xf numFmtId="0" fontId="15" fillId="23" borderId="14" xfId="0" applyFont="1" applyFill="1" applyBorder="1" applyAlignment="1"/>
    <xf numFmtId="187" fontId="15" fillId="23" borderId="14" xfId="0" applyNumberFormat="1" applyFont="1" applyFill="1" applyBorder="1" applyAlignment="1"/>
    <xf numFmtId="187" fontId="15" fillId="23" borderId="13" xfId="0" applyNumberFormat="1" applyFont="1" applyFill="1" applyBorder="1" applyAlignment="1"/>
    <xf numFmtId="0" fontId="4" fillId="2" borderId="14" xfId="0" quotePrefix="1" applyFont="1" applyFill="1" applyBorder="1" applyAlignment="1"/>
    <xf numFmtId="0" fontId="2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545"/>
  <sheetViews>
    <sheetView view="pageBreakPreview" zoomScale="60" zoomScaleNormal="70" workbookViewId="0">
      <pane xSplit="8" ySplit="6" topLeftCell="I17" activePane="bottomRight" state="frozen"/>
      <selection activeCell="S50" sqref="S50"/>
      <selection pane="topRight" activeCell="S50" sqref="S50"/>
      <selection pane="bottomLeft" activeCell="S50" sqref="S50"/>
      <selection pane="bottomRight" activeCell="S28" sqref="S28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7109375" bestFit="1" customWidth="1"/>
    <col min="10" max="10" width="12.42578125" bestFit="1" customWidth="1"/>
    <col min="11" max="11" width="16.7109375" bestFit="1" customWidth="1"/>
    <col min="12" max="14" width="22.8554687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1" t="s">
        <v>0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</row>
    <row r="2" spans="1:16" ht="19.5" x14ac:dyDescent="0.3">
      <c r="A2" s="499" t="s">
        <v>1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</row>
    <row r="3" spans="1:16" ht="19.5" x14ac:dyDescent="0.3">
      <c r="A3" s="499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501" t="s">
        <v>2</v>
      </c>
      <c r="B5" s="502"/>
      <c r="C5" s="502"/>
      <c r="D5" s="502"/>
      <c r="E5" s="502"/>
      <c r="F5" s="502"/>
      <c r="G5" s="503"/>
      <c r="H5" s="4" t="s">
        <v>3</v>
      </c>
      <c r="I5" s="505" t="s">
        <v>4</v>
      </c>
      <c r="J5" s="489"/>
      <c r="K5" s="490"/>
      <c r="L5" s="506" t="s">
        <v>5</v>
      </c>
      <c r="M5" s="490"/>
      <c r="N5" s="507" t="s">
        <v>6</v>
      </c>
      <c r="O5" s="489"/>
      <c r="P5" s="490"/>
    </row>
    <row r="6" spans="1:16" ht="19.5" x14ac:dyDescent="0.3">
      <c r="A6" s="504"/>
      <c r="B6" s="492"/>
      <c r="C6" s="492"/>
      <c r="D6" s="492"/>
      <c r="E6" s="492"/>
      <c r="F6" s="492"/>
      <c r="G6" s="493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9.5" hidden="1" x14ac:dyDescent="0.3">
      <c r="A7" s="488"/>
      <c r="B7" s="489"/>
      <c r="C7" s="489"/>
      <c r="D7" s="489"/>
      <c r="E7" s="489"/>
      <c r="F7" s="489"/>
      <c r="G7" s="490"/>
      <c r="H7" s="13"/>
      <c r="I7" s="14"/>
      <c r="J7" s="14"/>
      <c r="K7" s="15"/>
      <c r="L7" s="15"/>
      <c r="M7" s="15"/>
      <c r="N7" s="15"/>
      <c r="O7" s="15"/>
      <c r="P7" s="15"/>
    </row>
    <row r="8" spans="1:16" ht="19.5" hidden="1" x14ac:dyDescent="0.3">
      <c r="A8" s="16"/>
      <c r="B8" s="17"/>
      <c r="C8" s="18"/>
      <c r="D8" s="19"/>
      <c r="E8" s="17"/>
      <c r="F8" s="17"/>
      <c r="G8" s="20"/>
      <c r="H8" s="21"/>
      <c r="I8" s="22"/>
      <c r="J8" s="22"/>
      <c r="K8" s="23"/>
      <c r="L8" s="24"/>
      <c r="M8" s="24"/>
      <c r="N8" s="24"/>
      <c r="O8" s="24"/>
      <c r="P8" s="24"/>
    </row>
    <row r="9" spans="1:16" ht="18.75" hidden="1" x14ac:dyDescent="0.25">
      <c r="A9" s="16"/>
      <c r="B9" s="17"/>
      <c r="C9" s="17"/>
      <c r="D9" s="17"/>
      <c r="E9" s="25"/>
      <c r="F9" s="17"/>
      <c r="G9" s="20"/>
      <c r="H9" s="26"/>
      <c r="I9" s="22"/>
      <c r="J9" s="22"/>
      <c r="K9" s="23"/>
      <c r="L9" s="27"/>
      <c r="M9" s="27"/>
      <c r="N9" s="27"/>
      <c r="O9" s="27"/>
      <c r="P9" s="27"/>
    </row>
    <row r="10" spans="1:16" ht="18.75" hidden="1" x14ac:dyDescent="0.25">
      <c r="A10" s="16"/>
      <c r="B10" s="17"/>
      <c r="C10" s="17"/>
      <c r="D10" s="17"/>
      <c r="E10" s="25"/>
      <c r="F10" s="17"/>
      <c r="G10" s="20"/>
      <c r="H10" s="26"/>
      <c r="I10" s="22"/>
      <c r="J10" s="22"/>
      <c r="K10" s="23"/>
      <c r="L10" s="27"/>
      <c r="M10" s="27"/>
      <c r="N10" s="27"/>
      <c r="O10" s="27"/>
      <c r="P10" s="27"/>
    </row>
    <row r="11" spans="1:16" ht="18.75" hidden="1" x14ac:dyDescent="0.25">
      <c r="A11" s="16"/>
      <c r="B11" s="17"/>
      <c r="C11" s="17"/>
      <c r="D11" s="28"/>
      <c r="E11" s="17"/>
      <c r="F11" s="17"/>
      <c r="G11" s="20"/>
      <c r="H11" s="26"/>
      <c r="I11" s="22"/>
      <c r="J11" s="22"/>
      <c r="K11" s="23"/>
      <c r="L11" s="27"/>
      <c r="M11" s="27"/>
      <c r="N11" s="27"/>
      <c r="O11" s="27"/>
      <c r="P11" s="27"/>
    </row>
    <row r="12" spans="1:16" ht="18.75" hidden="1" x14ac:dyDescent="0.25">
      <c r="A12" s="16"/>
      <c r="B12" s="17"/>
      <c r="C12" s="17"/>
      <c r="D12" s="17"/>
      <c r="E12" s="25"/>
      <c r="F12" s="17"/>
      <c r="G12" s="20"/>
      <c r="H12" s="26"/>
      <c r="I12" s="22"/>
      <c r="J12" s="22"/>
      <c r="K12" s="23"/>
      <c r="L12" s="27"/>
      <c r="M12" s="27"/>
      <c r="N12" s="27"/>
      <c r="O12" s="27"/>
      <c r="P12" s="27"/>
    </row>
    <row r="13" spans="1:16" ht="18.75" hidden="1" x14ac:dyDescent="0.25">
      <c r="A13" s="16"/>
      <c r="B13" s="17"/>
      <c r="C13" s="17"/>
      <c r="D13" s="17"/>
      <c r="E13" s="25"/>
      <c r="F13" s="17"/>
      <c r="G13" s="20"/>
      <c r="H13" s="26"/>
      <c r="I13" s="22"/>
      <c r="J13" s="22"/>
      <c r="K13" s="23"/>
      <c r="L13" s="27"/>
      <c r="M13" s="27"/>
      <c r="N13" s="27"/>
      <c r="O13" s="27"/>
      <c r="P13" s="27"/>
    </row>
    <row r="14" spans="1:16" ht="18.75" hidden="1" x14ac:dyDescent="0.25">
      <c r="A14" s="16"/>
      <c r="B14" s="17"/>
      <c r="C14" s="17"/>
      <c r="D14" s="28"/>
      <c r="E14" s="17"/>
      <c r="F14" s="17"/>
      <c r="G14" s="20"/>
      <c r="H14" s="26"/>
      <c r="I14" s="22"/>
      <c r="J14" s="22"/>
      <c r="K14" s="23"/>
      <c r="L14" s="27"/>
      <c r="M14" s="27"/>
      <c r="N14" s="27"/>
      <c r="O14" s="27"/>
      <c r="P14" s="27"/>
    </row>
    <row r="15" spans="1:16" ht="18.75" hidden="1" x14ac:dyDescent="0.25">
      <c r="A15" s="16"/>
      <c r="B15" s="17"/>
      <c r="C15" s="17"/>
      <c r="D15" s="17"/>
      <c r="E15" s="25"/>
      <c r="F15" s="17"/>
      <c r="G15" s="20"/>
      <c r="H15" s="26"/>
      <c r="I15" s="22"/>
      <c r="J15" s="22"/>
      <c r="K15" s="23"/>
      <c r="L15" s="27"/>
      <c r="M15" s="27"/>
      <c r="N15" s="27"/>
      <c r="O15" s="27"/>
      <c r="P15" s="27"/>
    </row>
    <row r="16" spans="1:16" ht="18.75" hidden="1" x14ac:dyDescent="0.25">
      <c r="A16" s="29"/>
      <c r="B16" s="30"/>
      <c r="C16" s="30"/>
      <c r="D16" s="30"/>
      <c r="E16" s="31"/>
      <c r="F16" s="30"/>
      <c r="G16" s="32"/>
      <c r="H16" s="33"/>
      <c r="I16" s="34"/>
      <c r="J16" s="34"/>
      <c r="K16" s="35"/>
      <c r="L16" s="36"/>
      <c r="M16" s="36"/>
      <c r="N16" s="36"/>
      <c r="O16" s="36"/>
      <c r="P16" s="36"/>
    </row>
    <row r="17" spans="1:16" ht="19.5" x14ac:dyDescent="0.3">
      <c r="A17" s="491" t="s">
        <v>15</v>
      </c>
      <c r="B17" s="492"/>
      <c r="C17" s="492"/>
      <c r="D17" s="492"/>
      <c r="E17" s="492"/>
      <c r="F17" s="492"/>
      <c r="G17" s="493"/>
      <c r="H17" s="37"/>
      <c r="I17" s="38"/>
      <c r="J17" s="38"/>
      <c r="K17" s="39"/>
      <c r="L17" s="39"/>
      <c r="M17" s="39"/>
      <c r="N17" s="39"/>
      <c r="O17" s="39"/>
      <c r="P17" s="39"/>
    </row>
    <row r="18" spans="1:16" ht="19.5" x14ac:dyDescent="0.3">
      <c r="A18" s="40"/>
      <c r="B18" s="41"/>
      <c r="C18" s="42" t="s">
        <v>16</v>
      </c>
      <c r="D18" s="43" t="s">
        <v>17</v>
      </c>
      <c r="E18" s="41"/>
      <c r="F18" s="41"/>
      <c r="G18" s="44"/>
      <c r="H18" s="45" t="s">
        <v>12</v>
      </c>
      <c r="I18" s="46"/>
      <c r="J18" s="46"/>
      <c r="K18" s="47"/>
      <c r="L18" s="48">
        <f t="shared" ref="L18:N18" ca="1" si="0">L19+L20</f>
        <v>37274510</v>
      </c>
      <c r="M18" s="48">
        <f t="shared" ca="1" si="0"/>
        <v>32433926</v>
      </c>
      <c r="N18" s="48">
        <f t="shared" ca="1" si="0"/>
        <v>12317064.809999989</v>
      </c>
      <c r="O18" s="48">
        <f t="shared" ref="O18:O29" ca="1" si="1">IF(L18&gt;0,N18*100/L18,0)</f>
        <v>33.044203156527047</v>
      </c>
      <c r="P18" s="48">
        <f t="shared" ref="P18:P29" ca="1" si="2">IF(M18&gt;0,N18*100/M18,0)</f>
        <v>37.975867645501779</v>
      </c>
    </row>
    <row r="19" spans="1:16" ht="18.75" x14ac:dyDescent="0.25">
      <c r="A19" s="40"/>
      <c r="B19" s="41"/>
      <c r="C19" s="41"/>
      <c r="D19" s="41"/>
      <c r="E19" s="49" t="s">
        <v>18</v>
      </c>
      <c r="F19" s="41"/>
      <c r="G19" s="44"/>
      <c r="H19" s="50" t="s">
        <v>12</v>
      </c>
      <c r="I19" s="46"/>
      <c r="J19" s="46"/>
      <c r="K19" s="47"/>
      <c r="L19" s="51">
        <f t="shared" ref="L19:N19" ca="1" si="3">L22+L25+L28</f>
        <v>0</v>
      </c>
      <c r="M19" s="51">
        <f t="shared" ca="1" si="3"/>
        <v>0</v>
      </c>
      <c r="N19" s="51">
        <f t="shared" ca="1" si="3"/>
        <v>0</v>
      </c>
      <c r="O19" s="51">
        <f t="shared" ca="1" si="1"/>
        <v>0</v>
      </c>
      <c r="P19" s="51">
        <f t="shared" ca="1" si="2"/>
        <v>0</v>
      </c>
    </row>
    <row r="20" spans="1:16" ht="18.75" x14ac:dyDescent="0.25">
      <c r="A20" s="40"/>
      <c r="B20" s="41"/>
      <c r="C20" s="41"/>
      <c r="D20" s="41"/>
      <c r="E20" s="49" t="s">
        <v>19</v>
      </c>
      <c r="F20" s="41"/>
      <c r="G20" s="44"/>
      <c r="H20" s="50" t="s">
        <v>12</v>
      </c>
      <c r="I20" s="46"/>
      <c r="J20" s="46"/>
      <c r="K20" s="47"/>
      <c r="L20" s="51">
        <f t="shared" ref="L20:N20" ca="1" si="4">L23+L26+L29</f>
        <v>37274510</v>
      </c>
      <c r="M20" s="51">
        <f t="shared" ca="1" si="4"/>
        <v>32433926</v>
      </c>
      <c r="N20" s="51">
        <f t="shared" ca="1" si="4"/>
        <v>12317064.809999989</v>
      </c>
      <c r="O20" s="51">
        <f t="shared" ca="1" si="1"/>
        <v>33.044203156527047</v>
      </c>
      <c r="P20" s="51">
        <f t="shared" ca="1" si="2"/>
        <v>37.975867645501779</v>
      </c>
    </row>
    <row r="21" spans="1:16" ht="18.75" x14ac:dyDescent="0.25">
      <c r="A21" s="52"/>
      <c r="B21" s="53"/>
      <c r="C21" s="53"/>
      <c r="D21" s="54" t="s">
        <v>20</v>
      </c>
      <c r="E21" s="53"/>
      <c r="F21" s="53"/>
      <c r="G21" s="55"/>
      <c r="H21" s="56" t="s">
        <v>12</v>
      </c>
      <c r="I21" s="57"/>
      <c r="J21" s="57"/>
      <c r="K21" s="58"/>
      <c r="L21" s="59">
        <f t="shared" ref="L21:N21" ca="1" si="5">L22+L23</f>
        <v>37274510</v>
      </c>
      <c r="M21" s="59">
        <f t="shared" ca="1" si="5"/>
        <v>32433926</v>
      </c>
      <c r="N21" s="59">
        <f t="shared" ca="1" si="5"/>
        <v>12317064.809999989</v>
      </c>
      <c r="O21" s="59">
        <f t="shared" ca="1" si="1"/>
        <v>33.044203156527047</v>
      </c>
      <c r="P21" s="59">
        <f t="shared" ca="1" si="2"/>
        <v>37.975867645501779</v>
      </c>
    </row>
    <row r="22" spans="1:16" ht="18.75" x14ac:dyDescent="0.25">
      <c r="A22" s="52"/>
      <c r="B22" s="53"/>
      <c r="C22" s="53"/>
      <c r="D22" s="53"/>
      <c r="E22" s="60" t="s">
        <v>18</v>
      </c>
      <c r="F22" s="53"/>
      <c r="G22" s="55"/>
      <c r="H22" s="56" t="s">
        <v>12</v>
      </c>
      <c r="I22" s="57"/>
      <c r="J22" s="57"/>
      <c r="K22" s="58"/>
      <c r="L22" s="59">
        <f t="shared" ref="L22:N22" ca="1" si="6">L98+L63+L76+L98+L129+L143+L161+L190+L177+L270+L286+L307+L324+L337+L360+L381</f>
        <v>0</v>
      </c>
      <c r="M22" s="59">
        <f t="shared" ca="1" si="6"/>
        <v>0</v>
      </c>
      <c r="N22" s="59">
        <f t="shared" ca="1" si="6"/>
        <v>0</v>
      </c>
      <c r="O22" s="59">
        <f t="shared" ca="1" si="1"/>
        <v>0</v>
      </c>
      <c r="P22" s="59">
        <f t="shared" ca="1" si="2"/>
        <v>0</v>
      </c>
    </row>
    <row r="23" spans="1:16" ht="18.75" x14ac:dyDescent="0.25">
      <c r="A23" s="52"/>
      <c r="B23" s="53"/>
      <c r="C23" s="53"/>
      <c r="D23" s="53"/>
      <c r="E23" s="60" t="s">
        <v>19</v>
      </c>
      <c r="F23" s="53"/>
      <c r="G23" s="55"/>
      <c r="H23" s="56" t="s">
        <v>12</v>
      </c>
      <c r="I23" s="57"/>
      <c r="J23" s="57"/>
      <c r="K23" s="58"/>
      <c r="L23" s="59">
        <f t="shared" ref="L23:N23" ca="1" si="7">L49+L64+L77+L99+L130+L144+L162+L191+L178+L271+L287+L308+L325+L338+L361+L382</f>
        <v>37274510</v>
      </c>
      <c r="M23" s="59">
        <f t="shared" ca="1" si="7"/>
        <v>32433926</v>
      </c>
      <c r="N23" s="59">
        <f t="shared" ca="1" si="7"/>
        <v>12317064.809999989</v>
      </c>
      <c r="O23" s="59">
        <f t="shared" ca="1" si="1"/>
        <v>33.044203156527047</v>
      </c>
      <c r="P23" s="59">
        <f t="shared" ca="1" si="2"/>
        <v>37.975867645501779</v>
      </c>
    </row>
    <row r="24" spans="1:16" ht="18.75" x14ac:dyDescent="0.25">
      <c r="A24" s="52"/>
      <c r="B24" s="53"/>
      <c r="C24" s="53"/>
      <c r="D24" s="54" t="s">
        <v>21</v>
      </c>
      <c r="E24" s="53"/>
      <c r="F24" s="53"/>
      <c r="G24" s="55"/>
      <c r="H24" s="56" t="s">
        <v>12</v>
      </c>
      <c r="I24" s="57"/>
      <c r="J24" s="57"/>
      <c r="K24" s="58"/>
      <c r="L24" s="61">
        <f t="shared" ref="L24:N24" ca="1" si="8">L25+L26</f>
        <v>0</v>
      </c>
      <c r="M24" s="59">
        <f t="shared" ca="1" si="8"/>
        <v>0</v>
      </c>
      <c r="N24" s="59">
        <f t="shared" ca="1" si="8"/>
        <v>0</v>
      </c>
      <c r="O24" s="59">
        <f t="shared" ca="1" si="1"/>
        <v>0</v>
      </c>
      <c r="P24" s="59">
        <f t="shared" ca="1" si="2"/>
        <v>0</v>
      </c>
    </row>
    <row r="25" spans="1:16" ht="18.75" x14ac:dyDescent="0.25">
      <c r="A25" s="52"/>
      <c r="B25" s="53"/>
      <c r="C25" s="53"/>
      <c r="D25" s="53"/>
      <c r="E25" s="60" t="s">
        <v>18</v>
      </c>
      <c r="F25" s="53"/>
      <c r="G25" s="55"/>
      <c r="H25" s="56" t="s">
        <v>12</v>
      </c>
      <c r="I25" s="57"/>
      <c r="J25" s="57"/>
      <c r="K25" s="58"/>
      <c r="L25" s="59">
        <f t="shared" ref="L25:N25" ca="1" si="9">L51+L66+L79+L101+L132+L146+L164+L193+L180+L273+L289+L310+L327+L340+L363+L384</f>
        <v>0</v>
      </c>
      <c r="M25" s="59">
        <f t="shared" ca="1" si="9"/>
        <v>0</v>
      </c>
      <c r="N25" s="59">
        <f t="shared" ca="1" si="9"/>
        <v>0</v>
      </c>
      <c r="O25" s="59">
        <f t="shared" ca="1" si="1"/>
        <v>0</v>
      </c>
      <c r="P25" s="59">
        <f t="shared" ca="1" si="2"/>
        <v>0</v>
      </c>
    </row>
    <row r="26" spans="1:16" ht="18.75" x14ac:dyDescent="0.25">
      <c r="A26" s="52"/>
      <c r="B26" s="53"/>
      <c r="C26" s="53"/>
      <c r="D26" s="53"/>
      <c r="E26" s="60" t="s">
        <v>19</v>
      </c>
      <c r="F26" s="53"/>
      <c r="G26" s="55"/>
      <c r="H26" s="56" t="s">
        <v>12</v>
      </c>
      <c r="I26" s="57"/>
      <c r="J26" s="57"/>
      <c r="K26" s="58"/>
      <c r="L26" s="59">
        <f t="shared" ref="L26:N26" ca="1" si="10">L52+L67+L80+L102+L133+L147+L165+L194+L181+L274+L290+L311+L328+L341+L364+L385</f>
        <v>0</v>
      </c>
      <c r="M26" s="59">
        <f t="shared" ca="1" si="10"/>
        <v>0</v>
      </c>
      <c r="N26" s="59">
        <f t="shared" ca="1" si="10"/>
        <v>0</v>
      </c>
      <c r="O26" s="59">
        <f t="shared" ca="1" si="1"/>
        <v>0</v>
      </c>
      <c r="P26" s="59">
        <f t="shared" ca="1" si="2"/>
        <v>0</v>
      </c>
    </row>
    <row r="27" spans="1:16" ht="18.75" x14ac:dyDescent="0.25">
      <c r="A27" s="62"/>
      <c r="B27" s="63"/>
      <c r="C27" s="63"/>
      <c r="D27" s="64" t="s">
        <v>22</v>
      </c>
      <c r="E27" s="63"/>
      <c r="F27" s="63"/>
      <c r="G27" s="65"/>
      <c r="H27" s="66" t="s">
        <v>12</v>
      </c>
      <c r="I27" s="67"/>
      <c r="J27" s="67"/>
      <c r="K27" s="68"/>
      <c r="L27" s="69">
        <f t="shared" ref="L27:N27" ca="1" si="11">L28+L29</f>
        <v>0</v>
      </c>
      <c r="M27" s="69">
        <f t="shared" ca="1" si="11"/>
        <v>0</v>
      </c>
      <c r="N27" s="69">
        <f t="shared" ca="1" si="11"/>
        <v>0</v>
      </c>
      <c r="O27" s="69">
        <f t="shared" ca="1" si="1"/>
        <v>0</v>
      </c>
      <c r="P27" s="69">
        <f t="shared" ca="1" si="2"/>
        <v>0</v>
      </c>
    </row>
    <row r="28" spans="1:16" ht="18.75" x14ac:dyDescent="0.25">
      <c r="A28" s="52"/>
      <c r="B28" s="53"/>
      <c r="C28" s="53"/>
      <c r="D28" s="53"/>
      <c r="E28" s="60" t="s">
        <v>18</v>
      </c>
      <c r="F28" s="53"/>
      <c r="G28" s="55"/>
      <c r="H28" s="56" t="s">
        <v>12</v>
      </c>
      <c r="I28" s="57"/>
      <c r="J28" s="57"/>
      <c r="K28" s="58"/>
      <c r="L28" s="59">
        <f t="shared" ref="L28:N28" ca="1" si="12">L54</f>
        <v>0</v>
      </c>
      <c r="M28" s="59">
        <f t="shared" ca="1" si="12"/>
        <v>0</v>
      </c>
      <c r="N28" s="59">
        <f t="shared" ca="1" si="12"/>
        <v>0</v>
      </c>
      <c r="O28" s="59">
        <f t="shared" ca="1" si="1"/>
        <v>0</v>
      </c>
      <c r="P28" s="59">
        <f t="shared" ca="1" si="2"/>
        <v>0</v>
      </c>
    </row>
    <row r="29" spans="1:16" ht="18.75" x14ac:dyDescent="0.25">
      <c r="A29" s="70"/>
      <c r="B29" s="71"/>
      <c r="C29" s="71"/>
      <c r="D29" s="71"/>
      <c r="E29" s="72" t="s">
        <v>19</v>
      </c>
      <c r="F29" s="71"/>
      <c r="G29" s="73"/>
      <c r="H29" s="74" t="s">
        <v>12</v>
      </c>
      <c r="I29" s="75"/>
      <c r="J29" s="75"/>
      <c r="K29" s="76"/>
      <c r="L29" s="77">
        <f t="shared" ref="L29:N29" ca="1" si="13">L55</f>
        <v>0</v>
      </c>
      <c r="M29" s="77">
        <f t="shared" ca="1" si="13"/>
        <v>0</v>
      </c>
      <c r="N29" s="77">
        <f t="shared" ca="1" si="13"/>
        <v>0</v>
      </c>
      <c r="O29" s="77">
        <f t="shared" ca="1" si="1"/>
        <v>0</v>
      </c>
      <c r="P29" s="77">
        <f t="shared" ca="1" si="2"/>
        <v>0</v>
      </c>
    </row>
    <row r="30" spans="1:16" ht="19.5" hidden="1" x14ac:dyDescent="0.3">
      <c r="A30" s="494"/>
      <c r="B30" s="492"/>
      <c r="C30" s="492"/>
      <c r="D30" s="492"/>
      <c r="E30" s="492"/>
      <c r="F30" s="492"/>
      <c r="G30" s="493"/>
      <c r="H30" s="32"/>
      <c r="I30" s="34"/>
      <c r="J30" s="34"/>
      <c r="K30" s="35"/>
      <c r="L30" s="35"/>
      <c r="M30" s="35"/>
      <c r="N30" s="35"/>
      <c r="O30" s="35"/>
      <c r="P30" s="35"/>
    </row>
    <row r="31" spans="1:16" ht="19.5" hidden="1" x14ac:dyDescent="0.3">
      <c r="A31" s="16"/>
      <c r="B31" s="17"/>
      <c r="C31" s="18"/>
      <c r="D31" s="19"/>
      <c r="E31" s="17"/>
      <c r="F31" s="17"/>
      <c r="G31" s="20"/>
      <c r="H31" s="21"/>
      <c r="I31" s="22"/>
      <c r="J31" s="22"/>
      <c r="K31" s="23"/>
      <c r="L31" s="24"/>
      <c r="M31" s="24"/>
      <c r="N31" s="24"/>
      <c r="O31" s="24"/>
      <c r="P31" s="24"/>
    </row>
    <row r="32" spans="1:16" ht="18.75" hidden="1" x14ac:dyDescent="0.25">
      <c r="A32" s="16"/>
      <c r="B32" s="17"/>
      <c r="C32" s="17"/>
      <c r="D32" s="17"/>
      <c r="E32" s="25"/>
      <c r="F32" s="17"/>
      <c r="G32" s="20"/>
      <c r="H32" s="26"/>
      <c r="I32" s="22"/>
      <c r="J32" s="22"/>
      <c r="K32" s="23"/>
      <c r="L32" s="27"/>
      <c r="M32" s="27"/>
      <c r="N32" s="27"/>
      <c r="O32" s="27"/>
      <c r="P32" s="27"/>
    </row>
    <row r="33" spans="1:16" ht="18.75" hidden="1" x14ac:dyDescent="0.25">
      <c r="A33" s="16"/>
      <c r="B33" s="17"/>
      <c r="C33" s="17"/>
      <c r="D33" s="17"/>
      <c r="E33" s="25"/>
      <c r="F33" s="17"/>
      <c r="G33" s="20"/>
      <c r="H33" s="26"/>
      <c r="I33" s="22"/>
      <c r="J33" s="22"/>
      <c r="K33" s="23"/>
      <c r="L33" s="27"/>
      <c r="M33" s="27"/>
      <c r="N33" s="27"/>
      <c r="O33" s="27"/>
      <c r="P33" s="27"/>
    </row>
    <row r="34" spans="1:16" ht="18.75" hidden="1" x14ac:dyDescent="0.25">
      <c r="A34" s="16"/>
      <c r="B34" s="17"/>
      <c r="C34" s="17"/>
      <c r="D34" s="28"/>
      <c r="E34" s="17"/>
      <c r="F34" s="17"/>
      <c r="G34" s="20"/>
      <c r="H34" s="26"/>
      <c r="I34" s="22"/>
      <c r="J34" s="22"/>
      <c r="K34" s="23"/>
      <c r="L34" s="27"/>
      <c r="M34" s="27"/>
      <c r="N34" s="27"/>
      <c r="O34" s="27"/>
      <c r="P34" s="27"/>
    </row>
    <row r="35" spans="1:16" ht="18.75" hidden="1" x14ac:dyDescent="0.25">
      <c r="A35" s="16"/>
      <c r="B35" s="17"/>
      <c r="C35" s="17"/>
      <c r="D35" s="17"/>
      <c r="E35" s="25"/>
      <c r="F35" s="17"/>
      <c r="G35" s="20"/>
      <c r="H35" s="26"/>
      <c r="I35" s="22"/>
      <c r="J35" s="22"/>
      <c r="K35" s="23"/>
      <c r="L35" s="27"/>
      <c r="M35" s="27"/>
      <c r="N35" s="27"/>
      <c r="O35" s="27"/>
      <c r="P35" s="27"/>
    </row>
    <row r="36" spans="1:16" ht="18.75" hidden="1" x14ac:dyDescent="0.25">
      <c r="A36" s="16"/>
      <c r="B36" s="17"/>
      <c r="C36" s="17"/>
      <c r="D36" s="17"/>
      <c r="E36" s="25"/>
      <c r="F36" s="17"/>
      <c r="G36" s="20"/>
      <c r="H36" s="26"/>
      <c r="I36" s="22"/>
      <c r="J36" s="22"/>
      <c r="K36" s="23"/>
      <c r="L36" s="27"/>
      <c r="M36" s="27"/>
      <c r="N36" s="27"/>
      <c r="O36" s="27"/>
      <c r="P36" s="27"/>
    </row>
    <row r="37" spans="1:16" ht="18.75" hidden="1" x14ac:dyDescent="0.25">
      <c r="A37" s="16"/>
      <c r="B37" s="17"/>
      <c r="C37" s="17"/>
      <c r="D37" s="28"/>
      <c r="E37" s="17"/>
      <c r="F37" s="17"/>
      <c r="G37" s="20"/>
      <c r="H37" s="26"/>
      <c r="I37" s="22"/>
      <c r="J37" s="22"/>
      <c r="K37" s="23"/>
      <c r="L37" s="27"/>
      <c r="M37" s="27"/>
      <c r="N37" s="27"/>
      <c r="O37" s="27"/>
      <c r="P37" s="27"/>
    </row>
    <row r="38" spans="1:16" ht="18.75" hidden="1" x14ac:dyDescent="0.25">
      <c r="A38" s="16"/>
      <c r="B38" s="17"/>
      <c r="C38" s="17"/>
      <c r="D38" s="17"/>
      <c r="E38" s="25"/>
      <c r="F38" s="17"/>
      <c r="G38" s="20"/>
      <c r="H38" s="26"/>
      <c r="I38" s="22"/>
      <c r="J38" s="22"/>
      <c r="K38" s="23"/>
      <c r="L38" s="27"/>
      <c r="M38" s="27"/>
      <c r="N38" s="27"/>
      <c r="O38" s="27"/>
      <c r="P38" s="27"/>
    </row>
    <row r="39" spans="1:16" ht="18.75" hidden="1" x14ac:dyDescent="0.25">
      <c r="A39" s="29"/>
      <c r="B39" s="30"/>
      <c r="C39" s="30"/>
      <c r="D39" s="30"/>
      <c r="E39" s="31"/>
      <c r="F39" s="30"/>
      <c r="G39" s="32"/>
      <c r="H39" s="33"/>
      <c r="I39" s="34"/>
      <c r="J39" s="34"/>
      <c r="K39" s="35"/>
      <c r="L39" s="36"/>
      <c r="M39" s="36"/>
      <c r="N39" s="36"/>
      <c r="O39" s="36"/>
      <c r="P39" s="36"/>
    </row>
    <row r="40" spans="1:16" ht="19.5" x14ac:dyDescent="0.3">
      <c r="A40" s="78" t="s">
        <v>23</v>
      </c>
      <c r="B40" s="79"/>
      <c r="C40" s="79"/>
      <c r="D40" s="79"/>
      <c r="E40" s="79"/>
      <c r="F40" s="79"/>
      <c r="G40" s="80"/>
      <c r="H40" s="80"/>
      <c r="I40" s="81"/>
      <c r="J40" s="81"/>
      <c r="K40" s="82"/>
      <c r="L40" s="83">
        <f t="shared" ref="L40:N40" ca="1" si="14">L44+L59+L72+L94+L125+L139+L157+L173+L186+L266+L282+L303+L320+L333+L356</f>
        <v>37274510</v>
      </c>
      <c r="M40" s="83">
        <f t="shared" ca="1" si="14"/>
        <v>32433926</v>
      </c>
      <c r="N40" s="83">
        <f t="shared" ca="1" si="14"/>
        <v>12317064.809999989</v>
      </c>
      <c r="O40" s="83">
        <f ca="1">IF(L40&gt;0,N40*100/L40,0)</f>
        <v>33.044203156527047</v>
      </c>
      <c r="P40" s="83">
        <f ca="1">IF(M40&gt;0,N40*100/M40,0)</f>
        <v>37.975867645501779</v>
      </c>
    </row>
    <row r="41" spans="1:16" ht="19.5" x14ac:dyDescent="0.3">
      <c r="A41" s="84" t="s">
        <v>24</v>
      </c>
      <c r="B41" s="85"/>
      <c r="C41" s="85"/>
      <c r="D41" s="85"/>
      <c r="E41" s="85"/>
      <c r="F41" s="85"/>
      <c r="G41" s="85"/>
      <c r="H41" s="85"/>
      <c r="I41" s="86"/>
      <c r="J41" s="86"/>
      <c r="K41" s="87"/>
      <c r="L41" s="87"/>
      <c r="M41" s="87"/>
      <c r="N41" s="87"/>
      <c r="O41" s="87"/>
      <c r="P41" s="88"/>
    </row>
    <row r="42" spans="1:16" ht="19.5" x14ac:dyDescent="0.3">
      <c r="A42" s="89"/>
      <c r="B42" s="90" t="s">
        <v>25</v>
      </c>
      <c r="C42" s="89"/>
      <c r="D42" s="89"/>
      <c r="E42" s="89"/>
      <c r="F42" s="89"/>
      <c r="G42" s="89"/>
      <c r="H42" s="91"/>
      <c r="I42" s="92"/>
      <c r="J42" s="92"/>
      <c r="K42" s="93"/>
      <c r="L42" s="93"/>
      <c r="M42" s="93"/>
      <c r="N42" s="93"/>
      <c r="O42" s="93"/>
      <c r="P42" s="93"/>
    </row>
    <row r="43" spans="1:16" ht="19.5" hidden="1" x14ac:dyDescent="0.3">
      <c r="A43" s="16"/>
      <c r="B43" s="17"/>
      <c r="C43" s="18"/>
      <c r="D43" s="19"/>
      <c r="E43" s="17"/>
      <c r="F43" s="17"/>
      <c r="G43" s="20"/>
      <c r="H43" s="21"/>
      <c r="I43" s="22"/>
      <c r="J43" s="22"/>
      <c r="K43" s="23"/>
      <c r="L43" s="24"/>
      <c r="M43" s="24"/>
      <c r="N43" s="24"/>
      <c r="O43" s="24"/>
      <c r="P43" s="24"/>
    </row>
    <row r="44" spans="1:16" ht="19.5" x14ac:dyDescent="0.3">
      <c r="A44" s="94"/>
      <c r="B44" s="95"/>
      <c r="C44" s="96" t="s">
        <v>16</v>
      </c>
      <c r="D44" s="97" t="s">
        <v>17</v>
      </c>
      <c r="E44" s="95"/>
      <c r="F44" s="95"/>
      <c r="G44" s="98"/>
      <c r="H44" s="99" t="s">
        <v>12</v>
      </c>
      <c r="I44" s="100"/>
      <c r="J44" s="100"/>
      <c r="K44" s="101"/>
      <c r="L44" s="102">
        <f t="shared" ref="L44:N44" ca="1" si="15">L45+L46</f>
        <v>6211395</v>
      </c>
      <c r="M44" s="102">
        <f t="shared" ca="1" si="15"/>
        <v>6338851</v>
      </c>
      <c r="N44" s="102">
        <f t="shared" ca="1" si="15"/>
        <v>2735060.97</v>
      </c>
      <c r="O44" s="102">
        <f t="shared" ref="O44:O47" ca="1" si="16">IF(L44&gt;0,N44*100/L44,0)</f>
        <v>44.03295829680772</v>
      </c>
      <c r="P44" s="102">
        <f t="shared" ref="P44:P47" ca="1" si="17">IF(M44&gt;0,N44*100/M44,0)</f>
        <v>43.147582582395451</v>
      </c>
    </row>
    <row r="45" spans="1:16" ht="18.75" x14ac:dyDescent="0.25">
      <c r="A45" s="94"/>
      <c r="B45" s="95"/>
      <c r="C45" s="95"/>
      <c r="D45" s="95"/>
      <c r="E45" s="103" t="s">
        <v>18</v>
      </c>
      <c r="F45" s="95"/>
      <c r="G45" s="98"/>
      <c r="H45" s="104" t="s">
        <v>12</v>
      </c>
      <c r="I45" s="100"/>
      <c r="J45" s="100"/>
      <c r="K45" s="101"/>
      <c r="L45" s="105">
        <f t="shared" ref="L45:N45" ca="1" si="18">L98+L51+L54</f>
        <v>0</v>
      </c>
      <c r="M45" s="105">
        <f t="shared" ca="1" si="18"/>
        <v>0</v>
      </c>
      <c r="N45" s="105">
        <f t="shared" ca="1" si="18"/>
        <v>0</v>
      </c>
      <c r="O45" s="105">
        <f t="shared" ca="1" si="16"/>
        <v>0</v>
      </c>
      <c r="P45" s="105">
        <f t="shared" ca="1" si="17"/>
        <v>0</v>
      </c>
    </row>
    <row r="46" spans="1:16" ht="18.75" x14ac:dyDescent="0.25">
      <c r="A46" s="94"/>
      <c r="B46" s="95"/>
      <c r="C46" s="95"/>
      <c r="D46" s="95"/>
      <c r="E46" s="103" t="s">
        <v>19</v>
      </c>
      <c r="F46" s="95"/>
      <c r="G46" s="98"/>
      <c r="H46" s="104" t="s">
        <v>12</v>
      </c>
      <c r="I46" s="100"/>
      <c r="J46" s="100"/>
      <c r="K46" s="101"/>
      <c r="L46" s="105">
        <f t="shared" ref="L46:N46" ca="1" si="19">L49+L52+L55</f>
        <v>6211395</v>
      </c>
      <c r="M46" s="105">
        <f t="shared" ca="1" si="19"/>
        <v>6338851</v>
      </c>
      <c r="N46" s="105">
        <f t="shared" ca="1" si="19"/>
        <v>2735060.97</v>
      </c>
      <c r="O46" s="105">
        <f t="shared" ca="1" si="16"/>
        <v>44.03295829680772</v>
      </c>
      <c r="P46" s="105">
        <f t="shared" ca="1" si="17"/>
        <v>43.147582582395451</v>
      </c>
    </row>
    <row r="47" spans="1:16" ht="18.75" x14ac:dyDescent="0.25">
      <c r="A47" s="52"/>
      <c r="B47" s="53"/>
      <c r="C47" s="53"/>
      <c r="D47" s="54" t="s">
        <v>20</v>
      </c>
      <c r="E47" s="53"/>
      <c r="F47" s="53"/>
      <c r="G47" s="55"/>
      <c r="H47" s="56" t="s">
        <v>12</v>
      </c>
      <c r="I47" s="57"/>
      <c r="J47" s="57"/>
      <c r="K47" s="58"/>
      <c r="L47" s="59">
        <f t="shared" ref="L47:N47" ca="1" si="20">L98+L49</f>
        <v>6211395</v>
      </c>
      <c r="M47" s="59">
        <f t="shared" ca="1" si="20"/>
        <v>6338851</v>
      </c>
      <c r="N47" s="59">
        <f t="shared" ca="1" si="20"/>
        <v>2735060.97</v>
      </c>
      <c r="O47" s="59">
        <f t="shared" ca="1" si="16"/>
        <v>44.03295829680772</v>
      </c>
      <c r="P47" s="59">
        <f t="shared" ca="1" si="17"/>
        <v>43.147582582395451</v>
      </c>
    </row>
    <row r="48" spans="1:16" ht="18.75" x14ac:dyDescent="0.25">
      <c r="A48" s="52"/>
      <c r="B48" s="53"/>
      <c r="C48" s="53"/>
      <c r="D48" s="53"/>
      <c r="E48" s="60" t="s">
        <v>18</v>
      </c>
      <c r="F48" s="53"/>
      <c r="G48" s="55"/>
      <c r="H48" s="56" t="s">
        <v>12</v>
      </c>
      <c r="I48" s="57"/>
      <c r="J48" s="57"/>
      <c r="K48" s="58"/>
      <c r="L48" s="59">
        <f ca="1">IFERROR(__xludf.DUMMYFUNCTION("IMPORTRANGE(""https://docs.google.com/spreadsheets/d/1jTcq05yEiRwXcBMLjiodW9e4biSGYWAHcDj22rKWQ3s/edit?usp=sharing"",""กำแพงเพชร!L48"")+IMPORTRANGE(""https://docs.google.com/spreadsheets/d/1KS0zmDSZPk8KnTAbGN-Xk6MtX1YRZD0ldgdt20K4CRk/edit?usp=sharing"","""&amp;"เชียงราย!L48"")+IMPORTRANGE(""https://docs.google.com/spreadsheets/d/1rEDxBtusbi64tE0zunoIbsTVV16HeL0oJ6trHQeQ7K8/edit?usp=sharing"",""เชียงใหม่!L48"")+IMPORTRANGE(""https://docs.google.com/spreadsheets/d/1W6MnUbDkMi6xHnHko_XkFDO9kkuL6Wqyc-6OCDFjW9I/edit?"&amp;"usp=sharing"",""ตาก!L48"")+IMPORTRANGE(""https://docs.google.com/spreadsheets/d/1IQAWArduLkta9LpYo4a_ULsyqdta6-6aDDiwpUnQT6c/edit?usp=sharing"",""นครสวรรค์!L48"")+IMPORTRANGE(""https://docs.google.com/spreadsheets/d/10s13Sk5xrltsiR-Zkbmk5DwIaDIKO8XlbJAfqy"&amp;"T7Gvg/edit?usp=sharing"",""น่าน!L48"")+IMPORTRANGE(""https://docs.google.com/spreadsheets/d/1uu4nAn4Dbi1XREnLKKotUANlKXa7yCgRcgq8HEzQYW8/edit?usp=sharing"",""พะเยา!L48"")+IMPORTRANGE(""https://docs.google.com/spreadsheets/d/1xfJKIQxVOaPDIICqsflNlLu3JacTDk"&amp;"1FP9RH4phX7mI/edit?usp=sharing"",""พิจิตร!L48"")+IMPORTRANGE(""https://docs.google.com/spreadsheets/d/1JtRfZkJMHtEhI5RdRHxYUG4FIZHqKDpNyIuN7A1Q0_k/edit?usp=sharing"",""พิษณุโลก!L48"")+IMPORTRANGE(""https://docs.google.com/spreadsheets/d/1xlcVZWUNn6SuWm0c3"&amp;"07h32SiGkd9BaeQWlAktfD3KO8/edit?usp=sharing"",""เพชรบูรณ์!L48"")+IMPORTRANGE(""https://docs.google.com/spreadsheets/d/1lOVebEIsI9qjGXl6EX66luk7wiuP2tBaryw-wKvv4e0/edit?usp=sharing"",""แพร่!L48"")+IMPORTRANGE(""https://docs.google.com/spreadsheets/d/1dQrvX"&amp;"0vEcN7Gu0fnZ0B5S90AeR19zth4XlExFBeExMY/edit?usp=sharing"",""แม่ฮ่องสอน!L48"")+IMPORTRANGE(""https://docs.google.com/spreadsheets/d/1DY4XTNNwjluuxqdfdn6qvOSlMRrZqUtmYcZR0ttFiG4/edit?usp=sharing"",""ลำปาง!L48"")+IMPORTRANGE(""https://docs.google.com/spreads"&amp;"heets/d/1ICwG78r0OFT8biBlxnBF8r7she7gNSzOvJ958PWT09c/edit?usp=sharing"",""ลำพูน!L48"")+IMPORTRANGE(""https://docs.google.com/spreadsheets/d/1B0f2xJpZUC6Z0xXnqKlZtEPzsf6L84eP1r1Q15seqRM/edit?usp=sharing"",""สุโขทัย!L48"")+IMPORTRANGE(""https://docs.google."&amp;"com/spreadsheets/d/1v0b9pFQCsKUVExMei7AgY2yQkdeNQvtOssygGsXbiKo/edit?usp=sharing"",""อุตรดิตถ์!L48"")+IMPORTRANGE(""https://docs.google.com/spreadsheets/d/1UsNK1e-WWiCo2PvGqdNfdme4m17_Ezd3J69EeeiQPD0/edit?usp=sharing"",""อุทัยธานี!L48"")"),0)</f>
        <v>0</v>
      </c>
      <c r="M48" s="59">
        <f ca="1">IFERROR(__xludf.DUMMYFUNCTION("IMPORTRANGE(""https://docs.google.com/spreadsheets/d/1jTcq05yEiRwXcBMLjiodW9e4biSGYWAHcDj22rKWQ3s/edit?usp=sharing"",""กำแพงเพชร!M48"")+IMPORTRANGE(""https://docs.google.com/spreadsheets/d/1KS0zmDSZPk8KnTAbGN-Xk6MtX1YRZD0ldgdt20K4CRk/edit?usp=sharing"","""&amp;"เชียงราย!M48"")+IMPORTRANGE(""https://docs.google.com/spreadsheets/d/1rEDxBtusbi64tE0zunoIbsTVV16HeL0oJ6trHQeQ7K8/edit?usp=sharing"",""เชียงใหม่!M48"")+IMPORTRANGE(""https://docs.google.com/spreadsheets/d/1W6MnUbDkMi6xHnHko_XkFDO9kkuL6Wqyc-6OCDFjW9I/edit?"&amp;"usp=sharing"",""ตาก!M48"")+IMPORTRANGE(""https://docs.google.com/spreadsheets/d/1IQAWArduLkta9LpYo4a_ULsyqdta6-6aDDiwpUnQT6c/edit?usp=sharing"",""นครสวรรค์!M48"")+IMPORTRANGE(""https://docs.google.com/spreadsheets/d/10s13Sk5xrltsiR-Zkbmk5DwIaDIKO8XlbJAfqy"&amp;"T7Gvg/edit?usp=sharing"",""น่าน!M48"")+IMPORTRANGE(""https://docs.google.com/spreadsheets/d/1uu4nAn4Dbi1XREnLKKotUANlKXa7yCgRcgq8HEzQYW8/edit?usp=sharing"",""พะเยา!M48"")+IMPORTRANGE(""https://docs.google.com/spreadsheets/d/1xfJKIQxVOaPDIICqsflNlLu3JacTDk"&amp;"1FP9RH4phX7mI/edit?usp=sharing"",""พิจิตร!M48"")+IMPORTRANGE(""https://docs.google.com/spreadsheets/d/1JtRfZkJMHtEhI5RdRHxYUG4FIZHqKDpNyIuN7A1Q0_k/edit?usp=sharing"",""พิษณุโลก!M48"")+IMPORTRANGE(""https://docs.google.com/spreadsheets/d/1xlcVZWUNn6SuWm0c3"&amp;"07h32SiGkd9BaeQWlAktfD3KO8/edit?usp=sharing"",""เพชรบูรณ์!M48"")+IMPORTRANGE(""https://docs.google.com/spreadsheets/d/1lOVebEIsI9qjGXl6EX66luk7wiuP2tBaryw-wKvv4e0/edit?usp=sharing"",""แพร่!M48"")+IMPORTRANGE(""https://docs.google.com/spreadsheets/d/1dQrvX"&amp;"0vEcN7Gu0fnZ0B5S90AeR19zth4XlExFBeExMY/edit?usp=sharing"",""แม่ฮ่องสอน!M48"")+IMPORTRANGE(""https://docs.google.com/spreadsheets/d/1DY4XTNNwjluuxqdfdn6qvOSlMRrZqUtmYcZR0ttFiG4/edit?usp=sharing"",""ลำปาง!M48"")+IMPORTRANGE(""https://docs.google.com/spreads"&amp;"heets/d/1ICwG78r0OFT8biBlxnBF8r7she7gNSzOvJ958PWT09c/edit?usp=sharing"",""ลำพูน!M48"")+IMPORTRANGE(""https://docs.google.com/spreadsheets/d/1B0f2xJpZUC6Z0xXnqKlZtEPzsf6L84eP1r1Q15seqRM/edit?usp=sharing"",""สุโขทัย!M48"")+IMPORTRANGE(""https://docs.google."&amp;"com/spreadsheets/d/1v0b9pFQCsKUVExMei7AgY2yQkdeNQvtOssygGsXbiKo/edit?usp=sharing"",""อุตรดิตถ์!M48"")+IMPORTRANGE(""https://docs.google.com/spreadsheets/d/1UsNK1e-WWiCo2PvGqdNfdme4m17_Ezd3J69EeeiQPD0/edit?usp=sharing"",""อุทัยธานี!M48"")"),0)</f>
        <v>0</v>
      </c>
      <c r="N48" s="59">
        <f ca="1">IFERROR(__xludf.DUMMYFUNCTION("IMPORTRANGE(""https://docs.google.com/spreadsheets/d/1jTcq05yEiRwXcBMLjiodW9e4biSGYWAHcDj22rKWQ3s/edit?usp=sharing"",""กำแพงเพชร!N48"")+IMPORTRANGE(""https://docs.google.com/spreadsheets/d/1KS0zmDSZPk8KnTAbGN-Xk6MtX1YRZD0ldgdt20K4CRk/edit?usp=sharing"","""&amp;"เชียงราย!N48"")+IMPORTRANGE(""https://docs.google.com/spreadsheets/d/1rEDxBtusbi64tE0zunoIbsTVV16HeL0oJ6trHQeQ7K8/edit?usp=sharing"",""เชียงใหม่!N48"")+IMPORTRANGE(""https://docs.google.com/spreadsheets/d/1W6MnUbDkMi6xHnHko_XkFDO9kkuL6Wqyc-6OCDFjW9I/edit?"&amp;"usp=sharing"",""ตาก!N48"")+IMPORTRANGE(""https://docs.google.com/spreadsheets/d/1IQAWArduLkta9LpYo4a_ULsyqdta6-6aDDiwpUnQT6c/edit?usp=sharing"",""นครสวรรค์!N48"")+IMPORTRANGE(""https://docs.google.com/spreadsheets/d/10s13Sk5xrltsiR-Zkbmk5DwIaDIKO8XlbJAfqy"&amp;"T7Gvg/edit?usp=sharing"",""น่าน!N48"")+IMPORTRANGE(""https://docs.google.com/spreadsheets/d/1uu4nAn4Dbi1XREnLKKotUANlKXa7yCgRcgq8HEzQYW8/edit?usp=sharing"",""พะเยา!N48"")+IMPORTRANGE(""https://docs.google.com/spreadsheets/d/1xfJKIQxVOaPDIICqsflNlLu3JacTDk"&amp;"1FP9RH4phX7mI/edit?usp=sharing"",""พิจิตร!N48"")+IMPORTRANGE(""https://docs.google.com/spreadsheets/d/1JtRfZkJMHtEhI5RdRHxYUG4FIZHqKDpNyIuN7A1Q0_k/edit?usp=sharing"",""พิษณุโลก!N48"")+IMPORTRANGE(""https://docs.google.com/spreadsheets/d/1xlcVZWUNn6SuWm0c3"&amp;"07h32SiGkd9BaeQWlAktfD3KO8/edit?usp=sharing"",""เพชรบูรณ์!N48"")+IMPORTRANGE(""https://docs.google.com/spreadsheets/d/1lOVebEIsI9qjGXl6EX66luk7wiuP2tBaryw-wKvv4e0/edit?usp=sharing"",""แพร่!N48"")+IMPORTRANGE(""https://docs.google.com/spreadsheets/d/1dQrvX"&amp;"0vEcN7Gu0fnZ0B5S90AeR19zth4XlExFBeExMY/edit?usp=sharing"",""แม่ฮ่องสอน!N48"")+IMPORTRANGE(""https://docs.google.com/spreadsheets/d/1DY4XTNNwjluuxqdfdn6qvOSlMRrZqUtmYcZR0ttFiG4/edit?usp=sharing"",""ลำปาง!N48"")+IMPORTRANGE(""https://docs.google.com/spreads"&amp;"heets/d/1ICwG78r0OFT8biBlxnBF8r7she7gNSzOvJ958PWT09c/edit?usp=sharing"",""ลำพูน!N48"")+IMPORTRANGE(""https://docs.google.com/spreadsheets/d/1B0f2xJpZUC6Z0xXnqKlZtEPzsf6L84eP1r1Q15seqRM/edit?usp=sharing"",""สุโขทัย!N48"")+IMPORTRANGE(""https://docs.google."&amp;"com/spreadsheets/d/1v0b9pFQCsKUVExMei7AgY2yQkdeNQvtOssygGsXbiKo/edit?usp=sharing"",""อุตรดิตถ์!N48"")+IMPORTRANGE(""https://docs.google.com/spreadsheets/d/1UsNK1e-WWiCo2PvGqdNfdme4m17_Ezd3J69EeeiQPD0/edit?usp=sharing"",""อุทัยธานี!N48"")"),0)</f>
        <v>0</v>
      </c>
      <c r="O48" s="59">
        <f ca="1">IF(L98&gt;0,N98*100/L98,0)</f>
        <v>0</v>
      </c>
      <c r="P48" s="59">
        <f ca="1">IF(M98&gt;0,N98*100/M98,0)</f>
        <v>0</v>
      </c>
    </row>
    <row r="49" spans="1:16" ht="18.75" x14ac:dyDescent="0.25">
      <c r="A49" s="52"/>
      <c r="B49" s="53"/>
      <c r="C49" s="53"/>
      <c r="D49" s="53"/>
      <c r="E49" s="60" t="s">
        <v>19</v>
      </c>
      <c r="F49" s="53"/>
      <c r="G49" s="55"/>
      <c r="H49" s="56" t="s">
        <v>12</v>
      </c>
      <c r="I49" s="57"/>
      <c r="J49" s="57"/>
      <c r="K49" s="58"/>
      <c r="L49" s="59">
        <f ca="1">IFERROR(__xludf.DUMMYFUNCTION("IMPORTRANGE(""https://docs.google.com/spreadsheets/d/1jTcq05yEiRwXcBMLjiodW9e4biSGYWAHcDj22rKWQ3s/edit?usp=sharing"",""กำแพงเพชร!L49"")+IMPORTRANGE(""https://docs.google.com/spreadsheets/d/1KS0zmDSZPk8KnTAbGN-Xk6MtX1YRZD0ldgdt20K4CRk/edit?usp=sharing"","""&amp;"เชียงราย!L49"")+IMPORTRANGE(""https://docs.google.com/spreadsheets/d/1rEDxBtusbi64tE0zunoIbsTVV16HeL0oJ6trHQeQ7K8/edit?usp=sharing"",""เชียงใหม่!L49"")+IMPORTRANGE(""https://docs.google.com/spreadsheets/d/1W6MnUbDkMi6xHnHko_XkFDO9kkuL6Wqyc-6OCDFjW9I/edit?"&amp;"usp=sharing"",""ตาก!L49"")+IMPORTRANGE(""https://docs.google.com/spreadsheets/d/1IQAWArduLkta9LpYo4a_ULsyqdta6-6aDDiwpUnQT6c/edit?usp=sharing"",""นครสวรรค์!L49"")+IMPORTRANGE(""https://docs.google.com/spreadsheets/d/10s13Sk5xrltsiR-Zkbmk5DwIaDIKO8XlbJAfqy"&amp;"T7Gvg/edit?usp=sharing"",""น่าน!L49"")+IMPORTRANGE(""https://docs.google.com/spreadsheets/d/1uu4nAn4Dbi1XREnLKKotUANlKXa7yCgRcgq8HEzQYW8/edit?usp=sharing"",""พะเยา!L49"")+IMPORTRANGE(""https://docs.google.com/spreadsheets/d/1xfJKIQxVOaPDIICqsflNlLu3JacTDk"&amp;"1FP9RH4phX7mI/edit?usp=sharing"",""พิจิตร!L49"")+IMPORTRANGE(""https://docs.google.com/spreadsheets/d/1JtRfZkJMHtEhI5RdRHxYUG4FIZHqKDpNyIuN7A1Q0_k/edit?usp=sharing"",""พิษณุโลก!L49"")+IMPORTRANGE(""https://docs.google.com/spreadsheets/d/1xlcVZWUNn6SuWm0c3"&amp;"07h32SiGkd9BaeQWlAktfD3KO8/edit?usp=sharing"",""เพชรบูรณ์!L49"")+IMPORTRANGE(""https://docs.google.com/spreadsheets/d/1lOVebEIsI9qjGXl6EX66luk7wiuP2tBaryw-wKvv4e0/edit?usp=sharing"",""แพร่!L49"")+IMPORTRANGE(""https://docs.google.com/spreadsheets/d/1dQrvX"&amp;"0vEcN7Gu0fnZ0B5S90AeR19zth4XlExFBeExMY/edit?usp=sharing"",""แม่ฮ่องสอน!L49"")+IMPORTRANGE(""https://docs.google.com/spreadsheets/d/1DY4XTNNwjluuxqdfdn6qvOSlMRrZqUtmYcZR0ttFiG4/edit?usp=sharing"",""ลำปาง!L49"")+IMPORTRANGE(""https://docs.google.com/spreads"&amp;"heets/d/1ICwG78r0OFT8biBlxnBF8r7she7gNSzOvJ958PWT09c/edit?usp=sharing"",""ลำพูน!L49"")+IMPORTRANGE(""https://docs.google.com/spreadsheets/d/1B0f2xJpZUC6Z0xXnqKlZtEPzsf6L84eP1r1Q15seqRM/edit?usp=sharing"",""สุโขทัย!L49"")+IMPORTRANGE(""https://docs.google."&amp;"com/spreadsheets/d/1v0b9pFQCsKUVExMei7AgY2yQkdeNQvtOssygGsXbiKo/edit?usp=sharing"",""อุตรดิตถ์!L49"")+IMPORTRANGE(""https://docs.google.com/spreadsheets/d/1UsNK1e-WWiCo2PvGqdNfdme4m17_Ezd3J69EeeiQPD0/edit?usp=sharing"",""อุทัยธานี!L49"")"),6211395)</f>
        <v>6211395</v>
      </c>
      <c r="M49" s="59">
        <f ca="1">IFERROR(__xludf.DUMMYFUNCTION("IMPORTRANGE(""https://docs.google.com/spreadsheets/d/1jTcq05yEiRwXcBMLjiodW9e4biSGYWAHcDj22rKWQ3s/edit?usp=sharing"",""กำแพงเพชร!M49"")+IMPORTRANGE(""https://docs.google.com/spreadsheets/d/1KS0zmDSZPk8KnTAbGN-Xk6MtX1YRZD0ldgdt20K4CRk/edit?usp=sharing"","""&amp;"เชียงราย!M49"")+IMPORTRANGE(""https://docs.google.com/spreadsheets/d/1rEDxBtusbi64tE0zunoIbsTVV16HeL0oJ6trHQeQ7K8/edit?usp=sharing"",""เชียงใหม่!M49"")+IMPORTRANGE(""https://docs.google.com/spreadsheets/d/1W6MnUbDkMi6xHnHko_XkFDO9kkuL6Wqyc-6OCDFjW9I/edit?"&amp;"usp=sharing"",""ตาก!M49"")+IMPORTRANGE(""https://docs.google.com/spreadsheets/d/1IQAWArduLkta9LpYo4a_ULsyqdta6-6aDDiwpUnQT6c/edit?usp=sharing"",""นครสวรรค์!M49"")+IMPORTRANGE(""https://docs.google.com/spreadsheets/d/10s13Sk5xrltsiR-Zkbmk5DwIaDIKO8XlbJAfqy"&amp;"T7Gvg/edit?usp=sharing"",""น่าน!M49"")+IMPORTRANGE(""https://docs.google.com/spreadsheets/d/1uu4nAn4Dbi1XREnLKKotUANlKXa7yCgRcgq8HEzQYW8/edit?usp=sharing"",""พะเยา!M49"")+IMPORTRANGE(""https://docs.google.com/spreadsheets/d/1xfJKIQxVOaPDIICqsflNlLu3JacTDk"&amp;"1FP9RH4phX7mI/edit?usp=sharing"",""พิจิตร!M49"")+IMPORTRANGE(""https://docs.google.com/spreadsheets/d/1JtRfZkJMHtEhI5RdRHxYUG4FIZHqKDpNyIuN7A1Q0_k/edit?usp=sharing"",""พิษณุโลก!M49"")+IMPORTRANGE(""https://docs.google.com/spreadsheets/d/1xlcVZWUNn6SuWm0c3"&amp;"07h32SiGkd9BaeQWlAktfD3KO8/edit?usp=sharing"",""เพชรบูรณ์!M49"")+IMPORTRANGE(""https://docs.google.com/spreadsheets/d/1lOVebEIsI9qjGXl6EX66luk7wiuP2tBaryw-wKvv4e0/edit?usp=sharing"",""แพร่!M49"")+IMPORTRANGE(""https://docs.google.com/spreadsheets/d/1dQrvX"&amp;"0vEcN7Gu0fnZ0B5S90AeR19zth4XlExFBeExMY/edit?usp=sharing"",""แม่ฮ่องสอน!M49"")+IMPORTRANGE(""https://docs.google.com/spreadsheets/d/1DY4XTNNwjluuxqdfdn6qvOSlMRrZqUtmYcZR0ttFiG4/edit?usp=sharing"",""ลำปาง!M49"")+IMPORTRANGE(""https://docs.google.com/spreads"&amp;"heets/d/1ICwG78r0OFT8biBlxnBF8r7she7gNSzOvJ958PWT09c/edit?usp=sharing"",""ลำพูน!M49"")+IMPORTRANGE(""https://docs.google.com/spreadsheets/d/1B0f2xJpZUC6Z0xXnqKlZtEPzsf6L84eP1r1Q15seqRM/edit?usp=sharing"",""สุโขทัย!M49"")+IMPORTRANGE(""https://docs.google."&amp;"com/spreadsheets/d/1v0b9pFQCsKUVExMei7AgY2yQkdeNQvtOssygGsXbiKo/edit?usp=sharing"",""อุตรดิตถ์!M49"")+IMPORTRANGE(""https://docs.google.com/spreadsheets/d/1UsNK1e-WWiCo2PvGqdNfdme4m17_Ezd3J69EeeiQPD0/edit?usp=sharing"",""อุทัยธานี!M49"")"),6338851)</f>
        <v>6338851</v>
      </c>
      <c r="N49" s="59">
        <f ca="1">IFERROR(__xludf.DUMMYFUNCTION("IMPORTRANGE(""https://docs.google.com/spreadsheets/d/1jTcq05yEiRwXcBMLjiodW9e4biSGYWAHcDj22rKWQ3s/edit?usp=sharing"",""กำแพงเพชร!N49"")+IMPORTRANGE(""https://docs.google.com/spreadsheets/d/1KS0zmDSZPk8KnTAbGN-Xk6MtX1YRZD0ldgdt20K4CRk/edit?usp=sharing"","""&amp;"เชียงราย!N49"")+IMPORTRANGE(""https://docs.google.com/spreadsheets/d/1rEDxBtusbi64tE0zunoIbsTVV16HeL0oJ6trHQeQ7K8/edit?usp=sharing"",""เชียงใหม่!N49"")+IMPORTRANGE(""https://docs.google.com/spreadsheets/d/1W6MnUbDkMi6xHnHko_XkFDO9kkuL6Wqyc-6OCDFjW9I/edit?"&amp;"usp=sharing"",""ตาก!N49"")+IMPORTRANGE(""https://docs.google.com/spreadsheets/d/1IQAWArduLkta9LpYo4a_ULsyqdta6-6aDDiwpUnQT6c/edit?usp=sharing"",""นครสวรรค์!N49"")+IMPORTRANGE(""https://docs.google.com/spreadsheets/d/10s13Sk5xrltsiR-Zkbmk5DwIaDIKO8XlbJAfqy"&amp;"T7Gvg/edit?usp=sharing"",""น่าน!N49"")+IMPORTRANGE(""https://docs.google.com/spreadsheets/d/1uu4nAn4Dbi1XREnLKKotUANlKXa7yCgRcgq8HEzQYW8/edit?usp=sharing"",""พะเยา!N49"")+IMPORTRANGE(""https://docs.google.com/spreadsheets/d/1xfJKIQxVOaPDIICqsflNlLu3JacTDk"&amp;"1FP9RH4phX7mI/edit?usp=sharing"",""พิจิตร!N49"")+IMPORTRANGE(""https://docs.google.com/spreadsheets/d/1JtRfZkJMHtEhI5RdRHxYUG4FIZHqKDpNyIuN7A1Q0_k/edit?usp=sharing"",""พิษณุโลก!N49"")+IMPORTRANGE(""https://docs.google.com/spreadsheets/d/1xlcVZWUNn6SuWm0c3"&amp;"07h32SiGkd9BaeQWlAktfD3KO8/edit?usp=sharing"",""เพชรบูรณ์!N49"")+IMPORTRANGE(""https://docs.google.com/spreadsheets/d/1lOVebEIsI9qjGXl6EX66luk7wiuP2tBaryw-wKvv4e0/edit?usp=sharing"",""แพร่!N49"")+IMPORTRANGE(""https://docs.google.com/spreadsheets/d/1dQrvX"&amp;"0vEcN7Gu0fnZ0B5S90AeR19zth4XlExFBeExMY/edit?usp=sharing"",""แม่ฮ่องสอน!N49"")+IMPORTRANGE(""https://docs.google.com/spreadsheets/d/1DY4XTNNwjluuxqdfdn6qvOSlMRrZqUtmYcZR0ttFiG4/edit?usp=sharing"",""ลำปาง!N49"")+IMPORTRANGE(""https://docs.google.com/spreads"&amp;"heets/d/1ICwG78r0OFT8biBlxnBF8r7she7gNSzOvJ958PWT09c/edit?usp=sharing"",""ลำพูน!N49"")+IMPORTRANGE(""https://docs.google.com/spreadsheets/d/1B0f2xJpZUC6Z0xXnqKlZtEPzsf6L84eP1r1Q15seqRM/edit?usp=sharing"",""สุโขทัย!N49"")+IMPORTRANGE(""https://docs.google."&amp;"com/spreadsheets/d/1v0b9pFQCsKUVExMei7AgY2yQkdeNQvtOssygGsXbiKo/edit?usp=sharing"",""อุตรดิตถ์!N49"")+IMPORTRANGE(""https://docs.google.com/spreadsheets/d/1UsNK1e-WWiCo2PvGqdNfdme4m17_Ezd3J69EeeiQPD0/edit?usp=sharing"",""อุทัยธานี!N49"")"),2735060.97)</f>
        <v>2735060.97</v>
      </c>
      <c r="O49" s="59">
        <f t="shared" ref="O49:O55" ca="1" si="21">IF(L49&gt;0,N49*100/L49,0)</f>
        <v>44.03295829680772</v>
      </c>
      <c r="P49" s="59">
        <f t="shared" ref="P49:P55" ca="1" si="22">IF(M49&gt;0,N49*100/M49,0)</f>
        <v>43.147582582395451</v>
      </c>
    </row>
    <row r="50" spans="1:16" ht="18.75" x14ac:dyDescent="0.25">
      <c r="A50" s="52"/>
      <c r="B50" s="53"/>
      <c r="C50" s="53"/>
      <c r="D50" s="106" t="s">
        <v>21</v>
      </c>
      <c r="E50" s="53"/>
      <c r="F50" s="53"/>
      <c r="G50" s="55"/>
      <c r="H50" s="56" t="s">
        <v>12</v>
      </c>
      <c r="I50" s="57"/>
      <c r="J50" s="57"/>
      <c r="K50" s="58"/>
      <c r="L50" s="59">
        <f t="shared" ref="L50:N50" ca="1" si="23">L51+L52</f>
        <v>0</v>
      </c>
      <c r="M50" s="59">
        <f t="shared" ca="1" si="23"/>
        <v>0</v>
      </c>
      <c r="N50" s="59">
        <f t="shared" ca="1" si="23"/>
        <v>0</v>
      </c>
      <c r="O50" s="59">
        <f t="shared" ca="1" si="21"/>
        <v>0</v>
      </c>
      <c r="P50" s="59">
        <f t="shared" ca="1" si="22"/>
        <v>0</v>
      </c>
    </row>
    <row r="51" spans="1:16" ht="18.75" x14ac:dyDescent="0.25">
      <c r="A51" s="52"/>
      <c r="B51" s="53"/>
      <c r="C51" s="53"/>
      <c r="D51" s="53"/>
      <c r="E51" s="60" t="s">
        <v>18</v>
      </c>
      <c r="F51" s="53"/>
      <c r="G51" s="55"/>
      <c r="H51" s="56" t="s">
        <v>12</v>
      </c>
      <c r="I51" s="57"/>
      <c r="J51" s="57"/>
      <c r="K51" s="58"/>
      <c r="L51" s="59">
        <f ca="1">IFERROR(__xludf.DUMMYFUNCTION("IMPORTRANGE(""https://docs.google.com/spreadsheets/d/1jTcq05yEiRwXcBMLjiodW9e4biSGYWAHcDj22rKWQ3s/edit?usp=sharing"",""กำแพงเพชร!L51"")+IMPORTRANGE(""https://docs.google.com/spreadsheets/d/1KS0zmDSZPk8KnTAbGN-Xk6MtX1YRZD0ldgdt20K4CRk/edit?usp=sharing"","""&amp;"เชียงราย!L51"")+IMPORTRANGE(""https://docs.google.com/spreadsheets/d/1rEDxBtusbi64tE0zunoIbsTVV16HeL0oJ6trHQeQ7K8/edit?usp=sharing"",""เชียงใหม่!L51"")+IMPORTRANGE(""https://docs.google.com/spreadsheets/d/1W6MnUbDkMi6xHnHko_XkFDO9kkuL6Wqyc-6OCDFjW9I/edit?"&amp;"usp=sharing"",""ตาก!L51"")+IMPORTRANGE(""https://docs.google.com/spreadsheets/d/1IQAWArduLkta9LpYo4a_ULsyqdta6-6aDDiwpUnQT6c/edit?usp=sharing"",""นครสวรรค์!L51"")+IMPORTRANGE(""https://docs.google.com/spreadsheets/d/10s13Sk5xrltsiR-Zkbmk5DwIaDIKO8XlbJAfqy"&amp;"T7Gvg/edit?usp=sharing"",""น่าน!L51"")+IMPORTRANGE(""https://docs.google.com/spreadsheets/d/1uu4nAn4Dbi1XREnLKKotUANlKXa7yCgRcgq8HEzQYW8/edit?usp=sharing"",""พะเยา!L51"")+IMPORTRANGE(""https://docs.google.com/spreadsheets/d/1xfJKIQxVOaPDIICqsflNlLu3JacTDk"&amp;"1FP9RH4phX7mI/edit?usp=sharing"",""พิจิตร!L51"")+IMPORTRANGE(""https://docs.google.com/spreadsheets/d/1JtRfZkJMHtEhI5RdRHxYUG4FIZHqKDpNyIuN7A1Q0_k/edit?usp=sharing"",""พิษณุโลก!L51"")+IMPORTRANGE(""https://docs.google.com/spreadsheets/d/1xlcVZWUNn6SuWm0c3"&amp;"07h32SiGkd9BaeQWlAktfD3KO8/edit?usp=sharing"",""เพชรบูรณ์!L51"")+IMPORTRANGE(""https://docs.google.com/spreadsheets/d/1lOVebEIsI9qjGXl6EX66luk7wiuP2tBaryw-wKvv4e0/edit?usp=sharing"",""แพร่!L51"")+IMPORTRANGE(""https://docs.google.com/spreadsheets/d/1dQrvX"&amp;"0vEcN7Gu0fnZ0B5S90AeR19zth4XlExFBeExMY/edit?usp=sharing"",""แม่ฮ่องสอน!L51"")+IMPORTRANGE(""https://docs.google.com/spreadsheets/d/1DY4XTNNwjluuxqdfdn6qvOSlMRrZqUtmYcZR0ttFiG4/edit?usp=sharing"",""ลำปาง!L51"")+IMPORTRANGE(""https://docs.google.com/spreads"&amp;"heets/d/1ICwG78r0OFT8biBlxnBF8r7she7gNSzOvJ958PWT09c/edit?usp=sharing"",""ลำพูน!L51"")+IMPORTRANGE(""https://docs.google.com/spreadsheets/d/1B0f2xJpZUC6Z0xXnqKlZtEPzsf6L84eP1r1Q15seqRM/edit?usp=sharing"",""สุโขทัย!L51"")+IMPORTRANGE(""https://docs.google."&amp;"com/spreadsheets/d/1v0b9pFQCsKUVExMei7AgY2yQkdeNQvtOssygGsXbiKo/edit?usp=sharing"",""อุตรดิตถ์!L51"")+IMPORTRANGE(""https://docs.google.com/spreadsheets/d/1UsNK1e-WWiCo2PvGqdNfdme4m17_Ezd3J69EeeiQPD0/edit?usp=sharing"",""อุทัยธานี!L51"")"),0)</f>
        <v>0</v>
      </c>
      <c r="M51" s="59">
        <f ca="1">IFERROR(__xludf.DUMMYFUNCTION("IMPORTRANGE(""https://docs.google.com/spreadsheets/d/1jTcq05yEiRwXcBMLjiodW9e4biSGYWAHcDj22rKWQ3s/edit?usp=sharing"",""กำแพงเพชร!M51"")+IMPORTRANGE(""https://docs.google.com/spreadsheets/d/1KS0zmDSZPk8KnTAbGN-Xk6MtX1YRZD0ldgdt20K4CRk/edit?usp=sharing"","""&amp;"เชียงราย!M51"")+IMPORTRANGE(""https://docs.google.com/spreadsheets/d/1rEDxBtusbi64tE0zunoIbsTVV16HeL0oJ6trHQeQ7K8/edit?usp=sharing"",""เชียงใหม่!M51"")+IMPORTRANGE(""https://docs.google.com/spreadsheets/d/1W6MnUbDkMi6xHnHko_XkFDO9kkuL6Wqyc-6OCDFjW9I/edit?"&amp;"usp=sharing"",""ตาก!M51"")+IMPORTRANGE(""https://docs.google.com/spreadsheets/d/1IQAWArduLkta9LpYo4a_ULsyqdta6-6aDDiwpUnQT6c/edit?usp=sharing"",""นครสวรรค์!M51"")+IMPORTRANGE(""https://docs.google.com/spreadsheets/d/10s13Sk5xrltsiR-Zkbmk5DwIaDIKO8XlbJAfqy"&amp;"T7Gvg/edit?usp=sharing"",""น่าน!M51"")+IMPORTRANGE(""https://docs.google.com/spreadsheets/d/1uu4nAn4Dbi1XREnLKKotUANlKXa7yCgRcgq8HEzQYW8/edit?usp=sharing"",""พะเยา!M51"")+IMPORTRANGE(""https://docs.google.com/spreadsheets/d/1xfJKIQxVOaPDIICqsflNlLu3JacTDk"&amp;"1FP9RH4phX7mI/edit?usp=sharing"",""พิจิตร!M51"")+IMPORTRANGE(""https://docs.google.com/spreadsheets/d/1JtRfZkJMHtEhI5RdRHxYUG4FIZHqKDpNyIuN7A1Q0_k/edit?usp=sharing"",""พิษณุโลก!M51"")+IMPORTRANGE(""https://docs.google.com/spreadsheets/d/1xlcVZWUNn6SuWm0c3"&amp;"07h32SiGkd9BaeQWlAktfD3KO8/edit?usp=sharing"",""เพชรบูรณ์!M51"")+IMPORTRANGE(""https://docs.google.com/spreadsheets/d/1lOVebEIsI9qjGXl6EX66luk7wiuP2tBaryw-wKvv4e0/edit?usp=sharing"",""แพร่!M51"")+IMPORTRANGE(""https://docs.google.com/spreadsheets/d/1dQrvX"&amp;"0vEcN7Gu0fnZ0B5S90AeR19zth4XlExFBeExMY/edit?usp=sharing"",""แม่ฮ่องสอน!M51"")+IMPORTRANGE(""https://docs.google.com/spreadsheets/d/1DY4XTNNwjluuxqdfdn6qvOSlMRrZqUtmYcZR0ttFiG4/edit?usp=sharing"",""ลำปาง!M51"")+IMPORTRANGE(""https://docs.google.com/spreads"&amp;"heets/d/1ICwG78r0OFT8biBlxnBF8r7she7gNSzOvJ958PWT09c/edit?usp=sharing"",""ลำพูน!M51"")+IMPORTRANGE(""https://docs.google.com/spreadsheets/d/1B0f2xJpZUC6Z0xXnqKlZtEPzsf6L84eP1r1Q15seqRM/edit?usp=sharing"",""สุโขทัย!M51"")+IMPORTRANGE(""https://docs.google."&amp;"com/spreadsheets/d/1v0b9pFQCsKUVExMei7AgY2yQkdeNQvtOssygGsXbiKo/edit?usp=sharing"",""อุตรดิตถ์!M51"")+IMPORTRANGE(""https://docs.google.com/spreadsheets/d/1UsNK1e-WWiCo2PvGqdNfdme4m17_Ezd3J69EeeiQPD0/edit?usp=sharing"",""อุทัยธานี!M51"")"),0)</f>
        <v>0</v>
      </c>
      <c r="N51" s="59">
        <f ca="1">IFERROR(__xludf.DUMMYFUNCTION("IMPORTRANGE(""https://docs.google.com/spreadsheets/d/1jTcq05yEiRwXcBMLjiodW9e4biSGYWAHcDj22rKWQ3s/edit?usp=sharing"",""กำแพงเพชร!N51"")+IMPORTRANGE(""https://docs.google.com/spreadsheets/d/1KS0zmDSZPk8KnTAbGN-Xk6MtX1YRZD0ldgdt20K4CRk/edit?usp=sharing"","""&amp;"เชียงราย!N51"")+IMPORTRANGE(""https://docs.google.com/spreadsheets/d/1rEDxBtusbi64tE0zunoIbsTVV16HeL0oJ6trHQeQ7K8/edit?usp=sharing"",""เชียงใหม่!N51"")+IMPORTRANGE(""https://docs.google.com/spreadsheets/d/1W6MnUbDkMi6xHnHko_XkFDO9kkuL6Wqyc-6OCDFjW9I/edit?"&amp;"usp=sharing"",""ตาก!N51"")+IMPORTRANGE(""https://docs.google.com/spreadsheets/d/1IQAWArduLkta9LpYo4a_ULsyqdta6-6aDDiwpUnQT6c/edit?usp=sharing"",""นครสวรรค์!N51"")+IMPORTRANGE(""https://docs.google.com/spreadsheets/d/10s13Sk5xrltsiR-Zkbmk5DwIaDIKO8XlbJAfqy"&amp;"T7Gvg/edit?usp=sharing"",""น่าน!N51"")+IMPORTRANGE(""https://docs.google.com/spreadsheets/d/1uu4nAn4Dbi1XREnLKKotUANlKXa7yCgRcgq8HEzQYW8/edit?usp=sharing"",""พะเยา!N51"")+IMPORTRANGE(""https://docs.google.com/spreadsheets/d/1xfJKIQxVOaPDIICqsflNlLu3JacTDk"&amp;"1FP9RH4phX7mI/edit?usp=sharing"",""พิจิตร!N51"")+IMPORTRANGE(""https://docs.google.com/spreadsheets/d/1JtRfZkJMHtEhI5RdRHxYUG4FIZHqKDpNyIuN7A1Q0_k/edit?usp=sharing"",""พิษณุโลก!N51"")+IMPORTRANGE(""https://docs.google.com/spreadsheets/d/1xlcVZWUNn6SuWm0c3"&amp;"07h32SiGkd9BaeQWlAktfD3KO8/edit?usp=sharing"",""เพชรบูรณ์!N51"")+IMPORTRANGE(""https://docs.google.com/spreadsheets/d/1lOVebEIsI9qjGXl6EX66luk7wiuP2tBaryw-wKvv4e0/edit?usp=sharing"",""แพร่!N51"")+IMPORTRANGE(""https://docs.google.com/spreadsheets/d/1dQrvX"&amp;"0vEcN7Gu0fnZ0B5S90AeR19zth4XlExFBeExMY/edit?usp=sharing"",""แม่ฮ่องสอน!N51"")+IMPORTRANGE(""https://docs.google.com/spreadsheets/d/1DY4XTNNwjluuxqdfdn6qvOSlMRrZqUtmYcZR0ttFiG4/edit?usp=sharing"",""ลำปาง!N51"")+IMPORTRANGE(""https://docs.google.com/spreads"&amp;"heets/d/1ICwG78r0OFT8biBlxnBF8r7she7gNSzOvJ958PWT09c/edit?usp=sharing"",""ลำพูน!N51"")+IMPORTRANGE(""https://docs.google.com/spreadsheets/d/1B0f2xJpZUC6Z0xXnqKlZtEPzsf6L84eP1r1Q15seqRM/edit?usp=sharing"",""สุโขทัย!N51"")+IMPORTRANGE(""https://docs.google."&amp;"com/spreadsheets/d/1v0b9pFQCsKUVExMei7AgY2yQkdeNQvtOssygGsXbiKo/edit?usp=sharing"",""อุตรดิตถ์!N51"")+IMPORTRANGE(""https://docs.google.com/spreadsheets/d/1UsNK1e-WWiCo2PvGqdNfdme4m17_Ezd3J69EeeiQPD0/edit?usp=sharing"",""อุทัยธานี!N51"")"),0)</f>
        <v>0</v>
      </c>
      <c r="O51" s="59">
        <f t="shared" ca="1" si="21"/>
        <v>0</v>
      </c>
      <c r="P51" s="59">
        <f t="shared" ca="1" si="22"/>
        <v>0</v>
      </c>
    </row>
    <row r="52" spans="1:16" ht="18.75" x14ac:dyDescent="0.25">
      <c r="A52" s="52"/>
      <c r="B52" s="53"/>
      <c r="C52" s="53"/>
      <c r="D52" s="53"/>
      <c r="E52" s="60" t="s">
        <v>19</v>
      </c>
      <c r="F52" s="53"/>
      <c r="G52" s="55"/>
      <c r="H52" s="56" t="s">
        <v>12</v>
      </c>
      <c r="I52" s="57"/>
      <c r="J52" s="57"/>
      <c r="K52" s="58"/>
      <c r="L52" s="59">
        <f ca="1">IFERROR(__xludf.DUMMYFUNCTION("IMPORTRANGE(""https://docs.google.com/spreadsheets/d/1jTcq05yEiRwXcBMLjiodW9e4biSGYWAHcDj22rKWQ3s/edit?usp=sharing"",""กำแพงเพชร!L52"")+IMPORTRANGE(""https://docs.google.com/spreadsheets/d/1KS0zmDSZPk8KnTAbGN-Xk6MtX1YRZD0ldgdt20K4CRk/edit?usp=sharing"","""&amp;"เชียงราย!L52"")+IMPORTRANGE(""https://docs.google.com/spreadsheets/d/1rEDxBtusbi64tE0zunoIbsTVV16HeL0oJ6trHQeQ7K8/edit?usp=sharing"",""เชียงใหม่!L52"")+IMPORTRANGE(""https://docs.google.com/spreadsheets/d/1W6MnUbDkMi6xHnHko_XkFDO9kkuL6Wqyc-6OCDFjW9I/edit?"&amp;"usp=sharing"",""ตาก!L52"")+IMPORTRANGE(""https://docs.google.com/spreadsheets/d/1IQAWArduLkta9LpYo4a_ULsyqdta6-6aDDiwpUnQT6c/edit?usp=sharing"",""นครสวรรค์!L52"")+IMPORTRANGE(""https://docs.google.com/spreadsheets/d/10s13Sk5xrltsiR-Zkbmk5DwIaDIKO8XlbJAfqy"&amp;"T7Gvg/edit?usp=sharing"",""น่าน!L52"")+IMPORTRANGE(""https://docs.google.com/spreadsheets/d/1uu4nAn4Dbi1XREnLKKotUANlKXa7yCgRcgq8HEzQYW8/edit?usp=sharing"",""พะเยา!L52"")+IMPORTRANGE(""https://docs.google.com/spreadsheets/d/1xfJKIQxVOaPDIICqsflNlLu3JacTDk"&amp;"1FP9RH4phX7mI/edit?usp=sharing"",""พิจิตร!L52"")+IMPORTRANGE(""https://docs.google.com/spreadsheets/d/1JtRfZkJMHtEhI5RdRHxYUG4FIZHqKDpNyIuN7A1Q0_k/edit?usp=sharing"",""พิษณุโลก!L52"")+IMPORTRANGE(""https://docs.google.com/spreadsheets/d/1xlcVZWUNn6SuWm0c3"&amp;"07h32SiGkd9BaeQWlAktfD3KO8/edit?usp=sharing"",""เพชรบูรณ์!L52"")+IMPORTRANGE(""https://docs.google.com/spreadsheets/d/1lOVebEIsI9qjGXl6EX66luk7wiuP2tBaryw-wKvv4e0/edit?usp=sharing"",""แพร่!L52"")+IMPORTRANGE(""https://docs.google.com/spreadsheets/d/1dQrvX"&amp;"0vEcN7Gu0fnZ0B5S90AeR19zth4XlExFBeExMY/edit?usp=sharing"",""แม่ฮ่องสอน!L52"")+IMPORTRANGE(""https://docs.google.com/spreadsheets/d/1DY4XTNNwjluuxqdfdn6qvOSlMRrZqUtmYcZR0ttFiG4/edit?usp=sharing"",""ลำปาง!L52"")+IMPORTRANGE(""https://docs.google.com/spreads"&amp;"heets/d/1ICwG78r0OFT8biBlxnBF8r7she7gNSzOvJ958PWT09c/edit?usp=sharing"",""ลำพูน!L52"")+IMPORTRANGE(""https://docs.google.com/spreadsheets/d/1B0f2xJpZUC6Z0xXnqKlZtEPzsf6L84eP1r1Q15seqRM/edit?usp=sharing"",""สุโขทัย!L52"")+IMPORTRANGE(""https://docs.google."&amp;"com/spreadsheets/d/1v0b9pFQCsKUVExMei7AgY2yQkdeNQvtOssygGsXbiKo/edit?usp=sharing"",""อุตรดิตถ์!L52"")+IMPORTRANGE(""https://docs.google.com/spreadsheets/d/1UsNK1e-WWiCo2PvGqdNfdme4m17_Ezd3J69EeeiQPD0/edit?usp=sharing"",""อุทัยธานี!L52"")"),0)</f>
        <v>0</v>
      </c>
      <c r="M52" s="59">
        <f ca="1">IFERROR(__xludf.DUMMYFUNCTION("IMPORTRANGE(""https://docs.google.com/spreadsheets/d/1jTcq05yEiRwXcBMLjiodW9e4biSGYWAHcDj22rKWQ3s/edit?usp=sharing"",""กำแพงเพชร!M52"")+IMPORTRANGE(""https://docs.google.com/spreadsheets/d/1KS0zmDSZPk8KnTAbGN-Xk6MtX1YRZD0ldgdt20K4CRk/edit?usp=sharing"","""&amp;"เชียงราย!M52"")+IMPORTRANGE(""https://docs.google.com/spreadsheets/d/1rEDxBtusbi64tE0zunoIbsTVV16HeL0oJ6trHQeQ7K8/edit?usp=sharing"",""เชียงใหม่!M52"")+IMPORTRANGE(""https://docs.google.com/spreadsheets/d/1W6MnUbDkMi6xHnHko_XkFDO9kkuL6Wqyc-6OCDFjW9I/edit?"&amp;"usp=sharing"",""ตาก!M52"")+IMPORTRANGE(""https://docs.google.com/spreadsheets/d/1IQAWArduLkta9LpYo4a_ULsyqdta6-6aDDiwpUnQT6c/edit?usp=sharing"",""นครสวรรค์!M52"")+IMPORTRANGE(""https://docs.google.com/spreadsheets/d/10s13Sk5xrltsiR-Zkbmk5DwIaDIKO8XlbJAfqy"&amp;"T7Gvg/edit?usp=sharing"",""น่าน!M52"")+IMPORTRANGE(""https://docs.google.com/spreadsheets/d/1uu4nAn4Dbi1XREnLKKotUANlKXa7yCgRcgq8HEzQYW8/edit?usp=sharing"",""พะเยา!M52"")+IMPORTRANGE(""https://docs.google.com/spreadsheets/d/1xfJKIQxVOaPDIICqsflNlLu3JacTDk"&amp;"1FP9RH4phX7mI/edit?usp=sharing"",""พิจิตร!M52"")+IMPORTRANGE(""https://docs.google.com/spreadsheets/d/1JtRfZkJMHtEhI5RdRHxYUG4FIZHqKDpNyIuN7A1Q0_k/edit?usp=sharing"",""พิษณุโลก!M52"")+IMPORTRANGE(""https://docs.google.com/spreadsheets/d/1xlcVZWUNn6SuWm0c3"&amp;"07h32SiGkd9BaeQWlAktfD3KO8/edit?usp=sharing"",""เพชรบูรณ์!M52"")+IMPORTRANGE(""https://docs.google.com/spreadsheets/d/1lOVebEIsI9qjGXl6EX66luk7wiuP2tBaryw-wKvv4e0/edit?usp=sharing"",""แพร่!M52"")+IMPORTRANGE(""https://docs.google.com/spreadsheets/d/1dQrvX"&amp;"0vEcN7Gu0fnZ0B5S90AeR19zth4XlExFBeExMY/edit?usp=sharing"",""แม่ฮ่องสอน!M52"")+IMPORTRANGE(""https://docs.google.com/spreadsheets/d/1DY4XTNNwjluuxqdfdn6qvOSlMRrZqUtmYcZR0ttFiG4/edit?usp=sharing"",""ลำปาง!M52"")+IMPORTRANGE(""https://docs.google.com/spreads"&amp;"heets/d/1ICwG78r0OFT8biBlxnBF8r7she7gNSzOvJ958PWT09c/edit?usp=sharing"",""ลำพูน!M52"")+IMPORTRANGE(""https://docs.google.com/spreadsheets/d/1B0f2xJpZUC6Z0xXnqKlZtEPzsf6L84eP1r1Q15seqRM/edit?usp=sharing"",""สุโขทัย!M52"")+IMPORTRANGE(""https://docs.google."&amp;"com/spreadsheets/d/1v0b9pFQCsKUVExMei7AgY2yQkdeNQvtOssygGsXbiKo/edit?usp=sharing"",""อุตรดิตถ์!M52"")+IMPORTRANGE(""https://docs.google.com/spreadsheets/d/1UsNK1e-WWiCo2PvGqdNfdme4m17_Ezd3J69EeeiQPD0/edit?usp=sharing"",""อุทัยธานี!M52"")"),0)</f>
        <v>0</v>
      </c>
      <c r="N52" s="59">
        <f ca="1">IFERROR(__xludf.DUMMYFUNCTION("IMPORTRANGE(""https://docs.google.com/spreadsheets/d/1jTcq05yEiRwXcBMLjiodW9e4biSGYWAHcDj22rKWQ3s/edit?usp=sharing"",""กำแพงเพชร!N52"")+IMPORTRANGE(""https://docs.google.com/spreadsheets/d/1KS0zmDSZPk8KnTAbGN-Xk6MtX1YRZD0ldgdt20K4CRk/edit?usp=sharing"","""&amp;"เชียงราย!N52"")+IMPORTRANGE(""https://docs.google.com/spreadsheets/d/1rEDxBtusbi64tE0zunoIbsTVV16HeL0oJ6trHQeQ7K8/edit?usp=sharing"",""เชียงใหม่!N52"")+IMPORTRANGE(""https://docs.google.com/spreadsheets/d/1W6MnUbDkMi6xHnHko_XkFDO9kkuL6Wqyc-6OCDFjW9I/edit?"&amp;"usp=sharing"",""ตาก!N52"")+IMPORTRANGE(""https://docs.google.com/spreadsheets/d/1IQAWArduLkta9LpYo4a_ULsyqdta6-6aDDiwpUnQT6c/edit?usp=sharing"",""นครสวรรค์!N52"")+IMPORTRANGE(""https://docs.google.com/spreadsheets/d/10s13Sk5xrltsiR-Zkbmk5DwIaDIKO8XlbJAfqy"&amp;"T7Gvg/edit?usp=sharing"",""น่าน!N52"")+IMPORTRANGE(""https://docs.google.com/spreadsheets/d/1uu4nAn4Dbi1XREnLKKotUANlKXa7yCgRcgq8HEzQYW8/edit?usp=sharing"",""พะเยา!N52"")+IMPORTRANGE(""https://docs.google.com/spreadsheets/d/1xfJKIQxVOaPDIICqsflNlLu3JacTDk"&amp;"1FP9RH4phX7mI/edit?usp=sharing"",""พิจิตร!N52"")+IMPORTRANGE(""https://docs.google.com/spreadsheets/d/1JtRfZkJMHtEhI5RdRHxYUG4FIZHqKDpNyIuN7A1Q0_k/edit?usp=sharing"",""พิษณุโลก!N52"")+IMPORTRANGE(""https://docs.google.com/spreadsheets/d/1xlcVZWUNn6SuWm0c3"&amp;"07h32SiGkd9BaeQWlAktfD3KO8/edit?usp=sharing"",""เพชรบูรณ์!N52"")+IMPORTRANGE(""https://docs.google.com/spreadsheets/d/1lOVebEIsI9qjGXl6EX66luk7wiuP2tBaryw-wKvv4e0/edit?usp=sharing"",""แพร่!N52"")+IMPORTRANGE(""https://docs.google.com/spreadsheets/d/1dQrvX"&amp;"0vEcN7Gu0fnZ0B5S90AeR19zth4XlExFBeExMY/edit?usp=sharing"",""แม่ฮ่องสอน!N52"")+IMPORTRANGE(""https://docs.google.com/spreadsheets/d/1DY4XTNNwjluuxqdfdn6qvOSlMRrZqUtmYcZR0ttFiG4/edit?usp=sharing"",""ลำปาง!N52"")+IMPORTRANGE(""https://docs.google.com/spreads"&amp;"heets/d/1ICwG78r0OFT8biBlxnBF8r7she7gNSzOvJ958PWT09c/edit?usp=sharing"",""ลำพูน!N52"")+IMPORTRANGE(""https://docs.google.com/spreadsheets/d/1B0f2xJpZUC6Z0xXnqKlZtEPzsf6L84eP1r1Q15seqRM/edit?usp=sharing"",""สุโขทัย!N52"")+IMPORTRANGE(""https://docs.google."&amp;"com/spreadsheets/d/1v0b9pFQCsKUVExMei7AgY2yQkdeNQvtOssygGsXbiKo/edit?usp=sharing"",""อุตรดิตถ์!N52"")+IMPORTRANGE(""https://docs.google.com/spreadsheets/d/1UsNK1e-WWiCo2PvGqdNfdme4m17_Ezd3J69EeeiQPD0/edit?usp=sharing"",""อุทัยธานี!N52"")"),0)</f>
        <v>0</v>
      </c>
      <c r="O52" s="59">
        <f t="shared" ca="1" si="21"/>
        <v>0</v>
      </c>
      <c r="P52" s="59">
        <f t="shared" ca="1" si="22"/>
        <v>0</v>
      </c>
    </row>
    <row r="53" spans="1:16" ht="18.75" x14ac:dyDescent="0.25">
      <c r="A53" s="62"/>
      <c r="B53" s="63"/>
      <c r="C53" s="63"/>
      <c r="D53" s="64" t="s">
        <v>22</v>
      </c>
      <c r="E53" s="63"/>
      <c r="F53" s="63"/>
      <c r="G53" s="65"/>
      <c r="H53" s="66" t="s">
        <v>12</v>
      </c>
      <c r="I53" s="67"/>
      <c r="J53" s="67"/>
      <c r="K53" s="68"/>
      <c r="L53" s="69">
        <f t="shared" ref="L53:N53" ca="1" si="24">L54+L55</f>
        <v>0</v>
      </c>
      <c r="M53" s="69">
        <f t="shared" ca="1" si="24"/>
        <v>0</v>
      </c>
      <c r="N53" s="69">
        <f t="shared" ca="1" si="24"/>
        <v>0</v>
      </c>
      <c r="O53" s="69">
        <f t="shared" ca="1" si="21"/>
        <v>0</v>
      </c>
      <c r="P53" s="69">
        <f t="shared" ca="1" si="22"/>
        <v>0</v>
      </c>
    </row>
    <row r="54" spans="1:16" ht="18.75" x14ac:dyDescent="0.25">
      <c r="A54" s="52"/>
      <c r="B54" s="53"/>
      <c r="C54" s="53"/>
      <c r="D54" s="53"/>
      <c r="E54" s="60" t="s">
        <v>18</v>
      </c>
      <c r="F54" s="53"/>
      <c r="G54" s="55"/>
      <c r="H54" s="56" t="s">
        <v>12</v>
      </c>
      <c r="I54" s="57"/>
      <c r="J54" s="57"/>
      <c r="K54" s="58"/>
      <c r="L54" s="59">
        <f ca="1">IFERROR(__xludf.DUMMYFUNCTION("IMPORTRANGE(""https://docs.google.com/spreadsheets/d/1jTcq05yEiRwXcBMLjiodW9e4biSGYWAHcDj22rKWQ3s/edit?usp=sharing"",""กำแพงเพชร!L54"")+IMPORTRANGE(""https://docs.google.com/spreadsheets/d/1KS0zmDSZPk8KnTAbGN-Xk6MtX1YRZD0ldgdt20K4CRk/edit?usp=sharing"","""&amp;"เชียงราย!L54"")+IMPORTRANGE(""https://docs.google.com/spreadsheets/d/1rEDxBtusbi64tE0zunoIbsTVV16HeL0oJ6trHQeQ7K8/edit?usp=sharing"",""เชียงใหม่!L54"")+IMPORTRANGE(""https://docs.google.com/spreadsheets/d/1W6MnUbDkMi6xHnHko_XkFDO9kkuL6Wqyc-6OCDFjW9I/edit?"&amp;"usp=sharing"",""ตาก!L54"")+IMPORTRANGE(""https://docs.google.com/spreadsheets/d/1IQAWArduLkta9LpYo4a_ULsyqdta6-6aDDiwpUnQT6c/edit?usp=sharing"",""นครสวรรค์!L54"")+IMPORTRANGE(""https://docs.google.com/spreadsheets/d/10s13Sk5xrltsiR-Zkbmk5DwIaDIKO8XlbJAfqy"&amp;"T7Gvg/edit?usp=sharing"",""น่าน!L54"")+IMPORTRANGE(""https://docs.google.com/spreadsheets/d/1uu4nAn4Dbi1XREnLKKotUANlKXa7yCgRcgq8HEzQYW8/edit?usp=sharing"",""พะเยา!L54"")+IMPORTRANGE(""https://docs.google.com/spreadsheets/d/1xfJKIQxVOaPDIICqsflNlLu3JacTDk"&amp;"1FP9RH4phX7mI/edit?usp=sharing"",""พิจิตร!L54"")+IMPORTRANGE(""https://docs.google.com/spreadsheets/d/1JtRfZkJMHtEhI5RdRHxYUG4FIZHqKDpNyIuN7A1Q0_k/edit?usp=sharing"",""พิษณุโลก!L54"")+IMPORTRANGE(""https://docs.google.com/spreadsheets/d/1xlcVZWUNn6SuWm0c3"&amp;"07h32SiGkd9BaeQWlAktfD3KO8/edit?usp=sharing"",""เพชรบูรณ์!L54"")+IMPORTRANGE(""https://docs.google.com/spreadsheets/d/1lOVebEIsI9qjGXl6EX66luk7wiuP2tBaryw-wKvv4e0/edit?usp=sharing"",""แพร่!L54"")+IMPORTRANGE(""https://docs.google.com/spreadsheets/d/1dQrvX"&amp;"0vEcN7Gu0fnZ0B5S90AeR19zth4XlExFBeExMY/edit?usp=sharing"",""แม่ฮ่องสอน!L54"")+IMPORTRANGE(""https://docs.google.com/spreadsheets/d/1DY4XTNNwjluuxqdfdn6qvOSlMRrZqUtmYcZR0ttFiG4/edit?usp=sharing"",""ลำปาง!L54"")+IMPORTRANGE(""https://docs.google.com/spreads"&amp;"heets/d/1ICwG78r0OFT8biBlxnBF8r7she7gNSzOvJ958PWT09c/edit?usp=sharing"",""ลำพูน!L54"")+IMPORTRANGE(""https://docs.google.com/spreadsheets/d/1B0f2xJpZUC6Z0xXnqKlZtEPzsf6L84eP1r1Q15seqRM/edit?usp=sharing"",""สุโขทัย!L54"")+IMPORTRANGE(""https://docs.google."&amp;"com/spreadsheets/d/1v0b9pFQCsKUVExMei7AgY2yQkdeNQvtOssygGsXbiKo/edit?usp=sharing"",""อุตรดิตถ์!L54"")+IMPORTRANGE(""https://docs.google.com/spreadsheets/d/1UsNK1e-WWiCo2PvGqdNfdme4m17_Ezd3J69EeeiQPD0/edit?usp=sharing"",""อุทัยธานี!L54"")"),0)</f>
        <v>0</v>
      </c>
      <c r="M54" s="59">
        <f ca="1">IFERROR(__xludf.DUMMYFUNCTION("IMPORTRANGE(""https://docs.google.com/spreadsheets/d/1jTcq05yEiRwXcBMLjiodW9e4biSGYWAHcDj22rKWQ3s/edit?usp=sharing"",""กำแพงเพชร!M54"")+IMPORTRANGE(""https://docs.google.com/spreadsheets/d/1KS0zmDSZPk8KnTAbGN-Xk6MtX1YRZD0ldgdt20K4CRk/edit?usp=sharing"","""&amp;"เชียงราย!M54"")+IMPORTRANGE(""https://docs.google.com/spreadsheets/d/1rEDxBtusbi64tE0zunoIbsTVV16HeL0oJ6trHQeQ7K8/edit?usp=sharing"",""เชียงใหม่!M54"")+IMPORTRANGE(""https://docs.google.com/spreadsheets/d/1W6MnUbDkMi6xHnHko_XkFDO9kkuL6Wqyc-6OCDFjW9I/edit?"&amp;"usp=sharing"",""ตาก!M54"")+IMPORTRANGE(""https://docs.google.com/spreadsheets/d/1IQAWArduLkta9LpYo4a_ULsyqdta6-6aDDiwpUnQT6c/edit?usp=sharing"",""นครสวรรค์!M54"")+IMPORTRANGE(""https://docs.google.com/spreadsheets/d/10s13Sk5xrltsiR-Zkbmk5DwIaDIKO8XlbJAfqy"&amp;"T7Gvg/edit?usp=sharing"",""น่าน!M54"")+IMPORTRANGE(""https://docs.google.com/spreadsheets/d/1uu4nAn4Dbi1XREnLKKotUANlKXa7yCgRcgq8HEzQYW8/edit?usp=sharing"",""พะเยา!M54"")+IMPORTRANGE(""https://docs.google.com/spreadsheets/d/1xfJKIQxVOaPDIICqsflNlLu3JacTDk"&amp;"1FP9RH4phX7mI/edit?usp=sharing"",""พิจิตร!M54"")+IMPORTRANGE(""https://docs.google.com/spreadsheets/d/1JtRfZkJMHtEhI5RdRHxYUG4FIZHqKDpNyIuN7A1Q0_k/edit?usp=sharing"",""พิษณุโลก!M54"")+IMPORTRANGE(""https://docs.google.com/spreadsheets/d/1xlcVZWUNn6SuWm0c3"&amp;"07h32SiGkd9BaeQWlAktfD3KO8/edit?usp=sharing"",""เพชรบูรณ์!M54"")+IMPORTRANGE(""https://docs.google.com/spreadsheets/d/1lOVebEIsI9qjGXl6EX66luk7wiuP2tBaryw-wKvv4e0/edit?usp=sharing"",""แพร่!M54"")+IMPORTRANGE(""https://docs.google.com/spreadsheets/d/1dQrvX"&amp;"0vEcN7Gu0fnZ0B5S90AeR19zth4XlExFBeExMY/edit?usp=sharing"",""แม่ฮ่องสอน!M54"")+IMPORTRANGE(""https://docs.google.com/spreadsheets/d/1DY4XTNNwjluuxqdfdn6qvOSlMRrZqUtmYcZR0ttFiG4/edit?usp=sharing"",""ลำปาง!M54"")+IMPORTRANGE(""https://docs.google.com/spreads"&amp;"heets/d/1ICwG78r0OFT8biBlxnBF8r7she7gNSzOvJ958PWT09c/edit?usp=sharing"",""ลำพูน!M54"")+IMPORTRANGE(""https://docs.google.com/spreadsheets/d/1B0f2xJpZUC6Z0xXnqKlZtEPzsf6L84eP1r1Q15seqRM/edit?usp=sharing"",""สุโขทัย!M54"")+IMPORTRANGE(""https://docs.google."&amp;"com/spreadsheets/d/1v0b9pFQCsKUVExMei7AgY2yQkdeNQvtOssygGsXbiKo/edit?usp=sharing"",""อุตรดิตถ์!M54"")+IMPORTRANGE(""https://docs.google.com/spreadsheets/d/1UsNK1e-WWiCo2PvGqdNfdme4m17_Ezd3J69EeeiQPD0/edit?usp=sharing"",""อุทัยธานี!M54"")"),0)</f>
        <v>0</v>
      </c>
      <c r="N54" s="59">
        <f ca="1">IFERROR(__xludf.DUMMYFUNCTION("IMPORTRANGE(""https://docs.google.com/spreadsheets/d/1jTcq05yEiRwXcBMLjiodW9e4biSGYWAHcDj22rKWQ3s/edit?usp=sharing"",""กำแพงเพชร!N54"")+IMPORTRANGE(""https://docs.google.com/spreadsheets/d/1KS0zmDSZPk8KnTAbGN-Xk6MtX1YRZD0ldgdt20K4CRk/edit?usp=sharing"","""&amp;"เชียงราย!N54"")+IMPORTRANGE(""https://docs.google.com/spreadsheets/d/1rEDxBtusbi64tE0zunoIbsTVV16HeL0oJ6trHQeQ7K8/edit?usp=sharing"",""เชียงใหม่!N54"")+IMPORTRANGE(""https://docs.google.com/spreadsheets/d/1W6MnUbDkMi6xHnHko_XkFDO9kkuL6Wqyc-6OCDFjW9I/edit?"&amp;"usp=sharing"",""ตาก!N54"")+IMPORTRANGE(""https://docs.google.com/spreadsheets/d/1IQAWArduLkta9LpYo4a_ULsyqdta6-6aDDiwpUnQT6c/edit?usp=sharing"",""นครสวรรค์!N54"")+IMPORTRANGE(""https://docs.google.com/spreadsheets/d/10s13Sk5xrltsiR-Zkbmk5DwIaDIKO8XlbJAfqy"&amp;"T7Gvg/edit?usp=sharing"",""น่าน!N54"")+IMPORTRANGE(""https://docs.google.com/spreadsheets/d/1uu4nAn4Dbi1XREnLKKotUANlKXa7yCgRcgq8HEzQYW8/edit?usp=sharing"",""พะเยา!N54"")+IMPORTRANGE(""https://docs.google.com/spreadsheets/d/1xfJKIQxVOaPDIICqsflNlLu3JacTDk"&amp;"1FP9RH4phX7mI/edit?usp=sharing"",""พิจิตร!N54"")+IMPORTRANGE(""https://docs.google.com/spreadsheets/d/1JtRfZkJMHtEhI5RdRHxYUG4FIZHqKDpNyIuN7A1Q0_k/edit?usp=sharing"",""พิษณุโลก!N54"")+IMPORTRANGE(""https://docs.google.com/spreadsheets/d/1xlcVZWUNn6SuWm0c3"&amp;"07h32SiGkd9BaeQWlAktfD3KO8/edit?usp=sharing"",""เพชรบูรณ์!N54"")+IMPORTRANGE(""https://docs.google.com/spreadsheets/d/1lOVebEIsI9qjGXl6EX66luk7wiuP2tBaryw-wKvv4e0/edit?usp=sharing"",""แพร่!N54"")+IMPORTRANGE(""https://docs.google.com/spreadsheets/d/1dQrvX"&amp;"0vEcN7Gu0fnZ0B5S90AeR19zth4XlExFBeExMY/edit?usp=sharing"",""แม่ฮ่องสอน!N54"")+IMPORTRANGE(""https://docs.google.com/spreadsheets/d/1DY4XTNNwjluuxqdfdn6qvOSlMRrZqUtmYcZR0ttFiG4/edit?usp=sharing"",""ลำปาง!N54"")+IMPORTRANGE(""https://docs.google.com/spreads"&amp;"heets/d/1ICwG78r0OFT8biBlxnBF8r7she7gNSzOvJ958PWT09c/edit?usp=sharing"",""ลำพูน!N54"")+IMPORTRANGE(""https://docs.google.com/spreadsheets/d/1B0f2xJpZUC6Z0xXnqKlZtEPzsf6L84eP1r1Q15seqRM/edit?usp=sharing"",""สุโขทัย!N54"")+IMPORTRANGE(""https://docs.google."&amp;"com/spreadsheets/d/1v0b9pFQCsKUVExMei7AgY2yQkdeNQvtOssygGsXbiKo/edit?usp=sharing"",""อุตรดิตถ์!N54"")+IMPORTRANGE(""https://docs.google.com/spreadsheets/d/1UsNK1e-WWiCo2PvGqdNfdme4m17_Ezd3J69EeeiQPD0/edit?usp=sharing"",""อุทัยธานี!N54"")"),0)</f>
        <v>0</v>
      </c>
      <c r="O54" s="59">
        <f t="shared" ca="1" si="21"/>
        <v>0</v>
      </c>
      <c r="P54" s="59">
        <f t="shared" ca="1" si="22"/>
        <v>0</v>
      </c>
    </row>
    <row r="55" spans="1:16" ht="18.75" x14ac:dyDescent="0.25">
      <c r="A55" s="70"/>
      <c r="B55" s="71"/>
      <c r="C55" s="71"/>
      <c r="D55" s="71"/>
      <c r="E55" s="72" t="s">
        <v>19</v>
      </c>
      <c r="F55" s="71"/>
      <c r="G55" s="73"/>
      <c r="H55" s="74" t="s">
        <v>12</v>
      </c>
      <c r="I55" s="75"/>
      <c r="J55" s="75"/>
      <c r="K55" s="76"/>
      <c r="L55" s="77">
        <f ca="1">IFERROR(__xludf.DUMMYFUNCTION("IMPORTRANGE(""https://docs.google.com/spreadsheets/d/1jTcq05yEiRwXcBMLjiodW9e4biSGYWAHcDj22rKWQ3s/edit?usp=sharing"",""กำแพงเพชร!L55"")+IMPORTRANGE(""https://docs.google.com/spreadsheets/d/1KS0zmDSZPk8KnTAbGN-Xk6MtX1YRZD0ldgdt20K4CRk/edit?usp=sharing"","""&amp;"เชียงราย!L55"")+IMPORTRANGE(""https://docs.google.com/spreadsheets/d/1rEDxBtusbi64tE0zunoIbsTVV16HeL0oJ6trHQeQ7K8/edit?usp=sharing"",""เชียงใหม่!L55"")+IMPORTRANGE(""https://docs.google.com/spreadsheets/d/1W6MnUbDkMi6xHnHko_XkFDO9kkuL6Wqyc-6OCDFjW9I/edit?"&amp;"usp=sharing"",""ตาก!L55"")+IMPORTRANGE(""https://docs.google.com/spreadsheets/d/1IQAWArduLkta9LpYo4a_ULsyqdta6-6aDDiwpUnQT6c/edit?usp=sharing"",""นครสวรรค์!L55"")+IMPORTRANGE(""https://docs.google.com/spreadsheets/d/10s13Sk5xrltsiR-Zkbmk5DwIaDIKO8XlbJAfqy"&amp;"T7Gvg/edit?usp=sharing"",""น่าน!L55"")+IMPORTRANGE(""https://docs.google.com/spreadsheets/d/1uu4nAn4Dbi1XREnLKKotUANlKXa7yCgRcgq8HEzQYW8/edit?usp=sharing"",""พะเยา!L55"")+IMPORTRANGE(""https://docs.google.com/spreadsheets/d/1xfJKIQxVOaPDIICqsflNlLu3JacTDk"&amp;"1FP9RH4phX7mI/edit?usp=sharing"",""พิจิตร!L55"")+IMPORTRANGE(""https://docs.google.com/spreadsheets/d/1JtRfZkJMHtEhI5RdRHxYUG4FIZHqKDpNyIuN7A1Q0_k/edit?usp=sharing"",""พิษณุโลก!L55"")+IMPORTRANGE(""https://docs.google.com/spreadsheets/d/1xlcVZWUNn6SuWm0c3"&amp;"07h32SiGkd9BaeQWlAktfD3KO8/edit?usp=sharing"",""เพชรบูรณ์!L55"")+IMPORTRANGE(""https://docs.google.com/spreadsheets/d/1lOVebEIsI9qjGXl6EX66luk7wiuP2tBaryw-wKvv4e0/edit?usp=sharing"",""แพร่!L55"")+IMPORTRANGE(""https://docs.google.com/spreadsheets/d/1dQrvX"&amp;"0vEcN7Gu0fnZ0B5S90AeR19zth4XlExFBeExMY/edit?usp=sharing"",""แม่ฮ่องสอน!L55"")+IMPORTRANGE(""https://docs.google.com/spreadsheets/d/1DY4XTNNwjluuxqdfdn6qvOSlMRrZqUtmYcZR0ttFiG4/edit?usp=sharing"",""ลำปาง!L55"")+IMPORTRANGE(""https://docs.google.com/spreads"&amp;"heets/d/1ICwG78r0OFT8biBlxnBF8r7she7gNSzOvJ958PWT09c/edit?usp=sharing"",""ลำพูน!L55"")+IMPORTRANGE(""https://docs.google.com/spreadsheets/d/1B0f2xJpZUC6Z0xXnqKlZtEPzsf6L84eP1r1Q15seqRM/edit?usp=sharing"",""สุโขทัย!L55"")+IMPORTRANGE(""https://docs.google."&amp;"com/spreadsheets/d/1v0b9pFQCsKUVExMei7AgY2yQkdeNQvtOssygGsXbiKo/edit?usp=sharing"",""อุตรดิตถ์!L55"")+IMPORTRANGE(""https://docs.google.com/spreadsheets/d/1UsNK1e-WWiCo2PvGqdNfdme4m17_Ezd3J69EeeiQPD0/edit?usp=sharing"",""อุทัยธานี!L55"")"),0)</f>
        <v>0</v>
      </c>
      <c r="M55" s="77">
        <f ca="1">IFERROR(__xludf.DUMMYFUNCTION("IMPORTRANGE(""https://docs.google.com/spreadsheets/d/1jTcq05yEiRwXcBMLjiodW9e4biSGYWAHcDj22rKWQ3s/edit?usp=sharing"",""กำแพงเพชร!M55"")+IMPORTRANGE(""https://docs.google.com/spreadsheets/d/1KS0zmDSZPk8KnTAbGN-Xk6MtX1YRZD0ldgdt20K4CRk/edit?usp=sharing"","""&amp;"เชียงราย!M55"")+IMPORTRANGE(""https://docs.google.com/spreadsheets/d/1rEDxBtusbi64tE0zunoIbsTVV16HeL0oJ6trHQeQ7K8/edit?usp=sharing"",""เชียงใหม่!M55"")+IMPORTRANGE(""https://docs.google.com/spreadsheets/d/1W6MnUbDkMi6xHnHko_XkFDO9kkuL6Wqyc-6OCDFjW9I/edit?"&amp;"usp=sharing"",""ตาก!M55"")+IMPORTRANGE(""https://docs.google.com/spreadsheets/d/1IQAWArduLkta9LpYo4a_ULsyqdta6-6aDDiwpUnQT6c/edit?usp=sharing"",""นครสวรรค์!M55"")+IMPORTRANGE(""https://docs.google.com/spreadsheets/d/10s13Sk5xrltsiR-Zkbmk5DwIaDIKO8XlbJAfqy"&amp;"T7Gvg/edit?usp=sharing"",""น่าน!M55"")+IMPORTRANGE(""https://docs.google.com/spreadsheets/d/1uu4nAn4Dbi1XREnLKKotUANlKXa7yCgRcgq8HEzQYW8/edit?usp=sharing"",""พะเยา!M55"")+IMPORTRANGE(""https://docs.google.com/spreadsheets/d/1xfJKIQxVOaPDIICqsflNlLu3JacTDk"&amp;"1FP9RH4phX7mI/edit?usp=sharing"",""พิจิตร!M55"")+IMPORTRANGE(""https://docs.google.com/spreadsheets/d/1JtRfZkJMHtEhI5RdRHxYUG4FIZHqKDpNyIuN7A1Q0_k/edit?usp=sharing"",""พิษณุโลก!M55"")+IMPORTRANGE(""https://docs.google.com/spreadsheets/d/1xlcVZWUNn6SuWm0c3"&amp;"07h32SiGkd9BaeQWlAktfD3KO8/edit?usp=sharing"",""เพชรบูรณ์!M55"")+IMPORTRANGE(""https://docs.google.com/spreadsheets/d/1lOVebEIsI9qjGXl6EX66luk7wiuP2tBaryw-wKvv4e0/edit?usp=sharing"",""แพร่!M55"")+IMPORTRANGE(""https://docs.google.com/spreadsheets/d/1dQrvX"&amp;"0vEcN7Gu0fnZ0B5S90AeR19zth4XlExFBeExMY/edit?usp=sharing"",""แม่ฮ่องสอน!M55"")+IMPORTRANGE(""https://docs.google.com/spreadsheets/d/1DY4XTNNwjluuxqdfdn6qvOSlMRrZqUtmYcZR0ttFiG4/edit?usp=sharing"",""ลำปาง!M55"")+IMPORTRANGE(""https://docs.google.com/spreads"&amp;"heets/d/1ICwG78r0OFT8biBlxnBF8r7she7gNSzOvJ958PWT09c/edit?usp=sharing"",""ลำพูน!M55"")+IMPORTRANGE(""https://docs.google.com/spreadsheets/d/1B0f2xJpZUC6Z0xXnqKlZtEPzsf6L84eP1r1Q15seqRM/edit?usp=sharing"",""สุโขทัย!M55"")+IMPORTRANGE(""https://docs.google."&amp;"com/spreadsheets/d/1v0b9pFQCsKUVExMei7AgY2yQkdeNQvtOssygGsXbiKo/edit?usp=sharing"",""อุตรดิตถ์!M55"")+IMPORTRANGE(""https://docs.google.com/spreadsheets/d/1UsNK1e-WWiCo2PvGqdNfdme4m17_Ezd3J69EeeiQPD0/edit?usp=sharing"",""อุทัยธานี!M55"")"),0)</f>
        <v>0</v>
      </c>
      <c r="N55" s="77">
        <f ca="1">IFERROR(__xludf.DUMMYFUNCTION("IMPORTRANGE(""https://docs.google.com/spreadsheets/d/1jTcq05yEiRwXcBMLjiodW9e4biSGYWAHcDj22rKWQ3s/edit?usp=sharing"",""กำแพงเพชร!N55"")+IMPORTRANGE(""https://docs.google.com/spreadsheets/d/1KS0zmDSZPk8KnTAbGN-Xk6MtX1YRZD0ldgdt20K4CRk/edit?usp=sharing"","""&amp;"เชียงราย!N55"")+IMPORTRANGE(""https://docs.google.com/spreadsheets/d/1rEDxBtusbi64tE0zunoIbsTVV16HeL0oJ6trHQeQ7K8/edit?usp=sharing"",""เชียงใหม่!N55"")+IMPORTRANGE(""https://docs.google.com/spreadsheets/d/1W6MnUbDkMi6xHnHko_XkFDO9kkuL6Wqyc-6OCDFjW9I/edit?"&amp;"usp=sharing"",""ตาก!N55"")+IMPORTRANGE(""https://docs.google.com/spreadsheets/d/1IQAWArduLkta9LpYo4a_ULsyqdta6-6aDDiwpUnQT6c/edit?usp=sharing"",""นครสวรรค์!N55"")+IMPORTRANGE(""https://docs.google.com/spreadsheets/d/10s13Sk5xrltsiR-Zkbmk5DwIaDIKO8XlbJAfqy"&amp;"T7Gvg/edit?usp=sharing"",""น่าน!N55"")+IMPORTRANGE(""https://docs.google.com/spreadsheets/d/1uu4nAn4Dbi1XREnLKKotUANlKXa7yCgRcgq8HEzQYW8/edit?usp=sharing"",""พะเยา!N55"")+IMPORTRANGE(""https://docs.google.com/spreadsheets/d/1xfJKIQxVOaPDIICqsflNlLu3JacTDk"&amp;"1FP9RH4phX7mI/edit?usp=sharing"",""พิจิตร!N55"")+IMPORTRANGE(""https://docs.google.com/spreadsheets/d/1JtRfZkJMHtEhI5RdRHxYUG4FIZHqKDpNyIuN7A1Q0_k/edit?usp=sharing"",""พิษณุโลก!N55"")+IMPORTRANGE(""https://docs.google.com/spreadsheets/d/1xlcVZWUNn6SuWm0c3"&amp;"07h32SiGkd9BaeQWlAktfD3KO8/edit?usp=sharing"",""เพชรบูรณ์!N55"")+IMPORTRANGE(""https://docs.google.com/spreadsheets/d/1lOVebEIsI9qjGXl6EX66luk7wiuP2tBaryw-wKvv4e0/edit?usp=sharing"",""แพร่!N55"")+IMPORTRANGE(""https://docs.google.com/spreadsheets/d/1dQrvX"&amp;"0vEcN7Gu0fnZ0B5S90AeR19zth4XlExFBeExMY/edit?usp=sharing"",""แม่ฮ่องสอน!N55"")+IMPORTRANGE(""https://docs.google.com/spreadsheets/d/1DY4XTNNwjluuxqdfdn6qvOSlMRrZqUtmYcZR0ttFiG4/edit?usp=sharing"",""ลำปาง!N55"")+IMPORTRANGE(""https://docs.google.com/spreads"&amp;"heets/d/1ICwG78r0OFT8biBlxnBF8r7she7gNSzOvJ958PWT09c/edit?usp=sharing"",""ลำพูน!N55"")+IMPORTRANGE(""https://docs.google.com/spreadsheets/d/1B0f2xJpZUC6Z0xXnqKlZtEPzsf6L84eP1r1Q15seqRM/edit?usp=sharing"",""สุโขทัย!N55"")+IMPORTRANGE(""https://docs.google."&amp;"com/spreadsheets/d/1v0b9pFQCsKUVExMei7AgY2yQkdeNQvtOssygGsXbiKo/edit?usp=sharing"",""อุตรดิตถ์!N55"")+IMPORTRANGE(""https://docs.google.com/spreadsheets/d/1UsNK1e-WWiCo2PvGqdNfdme4m17_Ezd3J69EeeiQPD0/edit?usp=sharing"",""อุทัยธานี!N55"")"),0)</f>
        <v>0</v>
      </c>
      <c r="O55" s="77">
        <f t="shared" ca="1" si="21"/>
        <v>0</v>
      </c>
      <c r="P55" s="77">
        <f t="shared" ca="1" si="22"/>
        <v>0</v>
      </c>
    </row>
    <row r="56" spans="1:16" ht="19.5" x14ac:dyDescent="0.3">
      <c r="A56" s="495" t="s">
        <v>26</v>
      </c>
      <c r="B56" s="489"/>
      <c r="C56" s="489"/>
      <c r="D56" s="489"/>
      <c r="E56" s="489"/>
      <c r="F56" s="489"/>
      <c r="G56" s="489"/>
      <c r="H56" s="107"/>
      <c r="I56" s="108"/>
      <c r="J56" s="108"/>
      <c r="K56" s="109"/>
      <c r="L56" s="109"/>
      <c r="M56" s="109"/>
      <c r="N56" s="109"/>
      <c r="O56" s="109"/>
      <c r="P56" s="110"/>
    </row>
    <row r="57" spans="1:16" ht="19.5" x14ac:dyDescent="0.3">
      <c r="A57" s="111"/>
      <c r="B57" s="496" t="s">
        <v>27</v>
      </c>
      <c r="C57" s="497"/>
      <c r="D57" s="497"/>
      <c r="E57" s="497"/>
      <c r="F57" s="497"/>
      <c r="G57" s="498"/>
      <c r="H57" s="112"/>
      <c r="I57" s="113"/>
      <c r="J57" s="113"/>
      <c r="K57" s="114"/>
      <c r="L57" s="114"/>
      <c r="M57" s="114"/>
      <c r="N57" s="114"/>
      <c r="O57" s="114"/>
      <c r="P57" s="114"/>
    </row>
    <row r="58" spans="1:16" ht="19.5" x14ac:dyDescent="0.3">
      <c r="A58" s="115"/>
      <c r="B58" s="116" t="s">
        <v>28</v>
      </c>
      <c r="C58" s="117"/>
      <c r="D58" s="117"/>
      <c r="E58" s="117"/>
      <c r="F58" s="117"/>
      <c r="G58" s="118"/>
      <c r="H58" s="118"/>
      <c r="I58" s="119"/>
      <c r="J58" s="119"/>
      <c r="K58" s="120"/>
      <c r="L58" s="120"/>
      <c r="M58" s="120"/>
      <c r="N58" s="120"/>
      <c r="O58" s="120"/>
      <c r="P58" s="120"/>
    </row>
    <row r="59" spans="1:16" ht="19.5" x14ac:dyDescent="0.3">
      <c r="A59" s="121"/>
      <c r="B59" s="122"/>
      <c r="C59" s="123" t="s">
        <v>16</v>
      </c>
      <c r="D59" s="124" t="s">
        <v>17</v>
      </c>
      <c r="E59" s="122"/>
      <c r="F59" s="122"/>
      <c r="G59" s="125"/>
      <c r="H59" s="126" t="s">
        <v>12</v>
      </c>
      <c r="I59" s="127"/>
      <c r="J59" s="127"/>
      <c r="K59" s="128"/>
      <c r="L59" s="129">
        <f t="shared" ref="L59:N59" ca="1" si="25">L60+L61</f>
        <v>8691100</v>
      </c>
      <c r="M59" s="129">
        <f t="shared" ca="1" si="25"/>
        <v>6674630</v>
      </c>
      <c r="N59" s="129">
        <f t="shared" ca="1" si="25"/>
        <v>4142916.3399999901</v>
      </c>
      <c r="O59" s="129">
        <f t="shared" ref="O59:O67" ca="1" si="26">IF(L59&gt;0,N59*100/L59,0)</f>
        <v>47.668492365753359</v>
      </c>
      <c r="P59" s="129">
        <f t="shared" ref="P59:P67" ca="1" si="27">IF(M59&gt;0,N59*100/M59,0)</f>
        <v>62.069602959265005</v>
      </c>
    </row>
    <row r="60" spans="1:16" ht="18.75" x14ac:dyDescent="0.25">
      <c r="A60" s="121"/>
      <c r="B60" s="122"/>
      <c r="C60" s="122"/>
      <c r="D60" s="122"/>
      <c r="E60" s="130" t="s">
        <v>18</v>
      </c>
      <c r="F60" s="122"/>
      <c r="G60" s="125"/>
      <c r="H60" s="131" t="s">
        <v>12</v>
      </c>
      <c r="I60" s="127"/>
      <c r="J60" s="127"/>
      <c r="K60" s="128"/>
      <c r="L60" s="132">
        <f t="shared" ref="L60:N60" ca="1" si="28">L63+L66</f>
        <v>0</v>
      </c>
      <c r="M60" s="132">
        <f t="shared" ca="1" si="28"/>
        <v>0</v>
      </c>
      <c r="N60" s="132">
        <f t="shared" ca="1" si="28"/>
        <v>0</v>
      </c>
      <c r="O60" s="132">
        <f t="shared" ca="1" si="26"/>
        <v>0</v>
      </c>
      <c r="P60" s="132">
        <f t="shared" ca="1" si="27"/>
        <v>0</v>
      </c>
    </row>
    <row r="61" spans="1:16" ht="18.75" x14ac:dyDescent="0.25">
      <c r="A61" s="121"/>
      <c r="B61" s="122"/>
      <c r="C61" s="122"/>
      <c r="D61" s="122"/>
      <c r="E61" s="130" t="s">
        <v>19</v>
      </c>
      <c r="F61" s="122"/>
      <c r="G61" s="125"/>
      <c r="H61" s="131" t="s">
        <v>12</v>
      </c>
      <c r="I61" s="127"/>
      <c r="J61" s="127"/>
      <c r="K61" s="128"/>
      <c r="L61" s="132">
        <f t="shared" ref="L61:N61" ca="1" si="29">L64+L67</f>
        <v>8691100</v>
      </c>
      <c r="M61" s="132">
        <f t="shared" ca="1" si="29"/>
        <v>6674630</v>
      </c>
      <c r="N61" s="132">
        <f t="shared" ca="1" si="29"/>
        <v>4142916.3399999901</v>
      </c>
      <c r="O61" s="132">
        <f t="shared" ca="1" si="26"/>
        <v>47.668492365753359</v>
      </c>
      <c r="P61" s="132">
        <f t="shared" ca="1" si="27"/>
        <v>62.069602959265005</v>
      </c>
    </row>
    <row r="62" spans="1:16" ht="18.75" x14ac:dyDescent="0.25">
      <c r="A62" s="52"/>
      <c r="B62" s="53"/>
      <c r="C62" s="53"/>
      <c r="D62" s="54" t="s">
        <v>20</v>
      </c>
      <c r="E62" s="53"/>
      <c r="F62" s="53"/>
      <c r="G62" s="55"/>
      <c r="H62" s="56" t="s">
        <v>12</v>
      </c>
      <c r="I62" s="57"/>
      <c r="J62" s="57"/>
      <c r="K62" s="58"/>
      <c r="L62" s="59">
        <f t="shared" ref="L62:N62" ca="1" si="30">L63+L64</f>
        <v>8691100</v>
      </c>
      <c r="M62" s="59">
        <f t="shared" ca="1" si="30"/>
        <v>6674630</v>
      </c>
      <c r="N62" s="59">
        <f t="shared" ca="1" si="30"/>
        <v>4142916.3399999901</v>
      </c>
      <c r="O62" s="59">
        <f t="shared" ca="1" si="26"/>
        <v>47.668492365753359</v>
      </c>
      <c r="P62" s="59">
        <f t="shared" ca="1" si="27"/>
        <v>62.069602959265005</v>
      </c>
    </row>
    <row r="63" spans="1:16" ht="18.75" x14ac:dyDescent="0.25">
      <c r="A63" s="52"/>
      <c r="B63" s="53"/>
      <c r="C63" s="53"/>
      <c r="D63" s="53"/>
      <c r="E63" s="60" t="s">
        <v>18</v>
      </c>
      <c r="F63" s="53"/>
      <c r="G63" s="55"/>
      <c r="H63" s="56" t="s">
        <v>12</v>
      </c>
      <c r="I63" s="57"/>
      <c r="J63" s="57"/>
      <c r="K63" s="58"/>
      <c r="L63" s="59">
        <f ca="1">IFERROR(__xludf.DUMMYFUNCTION("IMPORTRANGE(""https://docs.google.com/spreadsheets/d/1jTcq05yEiRwXcBMLjiodW9e4biSGYWAHcDj22rKWQ3s/edit?usp=sharing"",""กำแพงเพชร!L63"")+IMPORTRANGE(""https://docs.google.com/spreadsheets/d/1KS0zmDSZPk8KnTAbGN-Xk6MtX1YRZD0ldgdt20K4CRk/edit?usp=sharing"","""&amp;"เชียงราย!L63"")+IMPORTRANGE(""https://docs.google.com/spreadsheets/d/1rEDxBtusbi64tE0zunoIbsTVV16HeL0oJ6trHQeQ7K8/edit?usp=sharing"",""เชียงใหม่!L63"")+IMPORTRANGE(""https://docs.google.com/spreadsheets/d/1W6MnUbDkMi6xHnHko_XkFDO9kkuL6Wqyc-6OCDFjW9I/edit?"&amp;"usp=sharing"",""ตาก!L63"")+IMPORTRANGE(""https://docs.google.com/spreadsheets/d/1IQAWArduLkta9LpYo4a_ULsyqdta6-6aDDiwpUnQT6c/edit?usp=sharing"",""นครสวรรค์!L63"")+IMPORTRANGE(""https://docs.google.com/spreadsheets/d/10s13Sk5xrltsiR-Zkbmk5DwIaDIKO8XlbJAfqy"&amp;"T7Gvg/edit?usp=sharing"",""น่าน!L63"")+IMPORTRANGE(""https://docs.google.com/spreadsheets/d/1uu4nAn4Dbi1XREnLKKotUANlKXa7yCgRcgq8HEzQYW8/edit?usp=sharing"",""พะเยา!L63"")+IMPORTRANGE(""https://docs.google.com/spreadsheets/d/1xfJKIQxVOaPDIICqsflNlLu3JacTDk"&amp;"1FP9RH4phX7mI/edit?usp=sharing"",""พิจิตร!L63"")+IMPORTRANGE(""https://docs.google.com/spreadsheets/d/1JtRfZkJMHtEhI5RdRHxYUG4FIZHqKDpNyIuN7A1Q0_k/edit?usp=sharing"",""พิษณุโลก!L63"")+IMPORTRANGE(""https://docs.google.com/spreadsheets/d/1xlcVZWUNn6SuWm0c3"&amp;"07h32SiGkd9BaeQWlAktfD3KO8/edit?usp=sharing"",""เพชรบูรณ์!L63"")+IMPORTRANGE(""https://docs.google.com/spreadsheets/d/1lOVebEIsI9qjGXl6EX66luk7wiuP2tBaryw-wKvv4e0/edit?usp=sharing"",""แพร่!L63"")+IMPORTRANGE(""https://docs.google.com/spreadsheets/d/1dQrvX"&amp;"0vEcN7Gu0fnZ0B5S90AeR19zth4XlExFBeExMY/edit?usp=sharing"",""แม่ฮ่องสอน!L63"")+IMPORTRANGE(""https://docs.google.com/spreadsheets/d/1DY4XTNNwjluuxqdfdn6qvOSlMRrZqUtmYcZR0ttFiG4/edit?usp=sharing"",""ลำปาง!L63"")+IMPORTRANGE(""https://docs.google.com/spreads"&amp;"heets/d/1ICwG78r0OFT8biBlxnBF8r7she7gNSzOvJ958PWT09c/edit?usp=sharing"",""ลำพูน!L63"")+IMPORTRANGE(""https://docs.google.com/spreadsheets/d/1B0f2xJpZUC6Z0xXnqKlZtEPzsf6L84eP1r1Q15seqRM/edit?usp=sharing"",""สุโขทัย!L63"")+IMPORTRANGE(""https://docs.google."&amp;"com/spreadsheets/d/1v0b9pFQCsKUVExMei7AgY2yQkdeNQvtOssygGsXbiKo/edit?usp=sharing"",""อุตรดิตถ์!L63"")+IMPORTRANGE(""https://docs.google.com/spreadsheets/d/1UsNK1e-WWiCo2PvGqdNfdme4m17_Ezd3J69EeeiQPD0/edit?usp=sharing"",""อุทัยธานี!L63"")"),0)</f>
        <v>0</v>
      </c>
      <c r="M63" s="59">
        <f ca="1">IFERROR(__xludf.DUMMYFUNCTION("IMPORTRANGE(""https://docs.google.com/spreadsheets/d/1jTcq05yEiRwXcBMLjiodW9e4biSGYWAHcDj22rKWQ3s/edit?usp=sharing"",""กำแพงเพชร!M63"")+IMPORTRANGE(""https://docs.google.com/spreadsheets/d/1KS0zmDSZPk8KnTAbGN-Xk6MtX1YRZD0ldgdt20K4CRk/edit?usp=sharing"","""&amp;"เชียงราย!M63"")+IMPORTRANGE(""https://docs.google.com/spreadsheets/d/1rEDxBtusbi64tE0zunoIbsTVV16HeL0oJ6trHQeQ7K8/edit?usp=sharing"",""เชียงใหม่!M63"")+IMPORTRANGE(""https://docs.google.com/spreadsheets/d/1W6MnUbDkMi6xHnHko_XkFDO9kkuL6Wqyc-6OCDFjW9I/edit?"&amp;"usp=sharing"",""ตาก!M63"")+IMPORTRANGE(""https://docs.google.com/spreadsheets/d/1IQAWArduLkta9LpYo4a_ULsyqdta6-6aDDiwpUnQT6c/edit?usp=sharing"",""นครสวรรค์!M63"")+IMPORTRANGE(""https://docs.google.com/spreadsheets/d/10s13Sk5xrltsiR-Zkbmk5DwIaDIKO8XlbJAfqy"&amp;"T7Gvg/edit?usp=sharing"",""น่าน!M63"")+IMPORTRANGE(""https://docs.google.com/spreadsheets/d/1uu4nAn4Dbi1XREnLKKotUANlKXa7yCgRcgq8HEzQYW8/edit?usp=sharing"",""พะเยา!M63"")+IMPORTRANGE(""https://docs.google.com/spreadsheets/d/1xfJKIQxVOaPDIICqsflNlLu3JacTDk"&amp;"1FP9RH4phX7mI/edit?usp=sharing"",""พิจิตร!M63"")+IMPORTRANGE(""https://docs.google.com/spreadsheets/d/1JtRfZkJMHtEhI5RdRHxYUG4FIZHqKDpNyIuN7A1Q0_k/edit?usp=sharing"",""พิษณุโลก!M63"")+IMPORTRANGE(""https://docs.google.com/spreadsheets/d/1xlcVZWUNn6SuWm0c3"&amp;"07h32SiGkd9BaeQWlAktfD3KO8/edit?usp=sharing"",""เพชรบูรณ์!M63"")+IMPORTRANGE(""https://docs.google.com/spreadsheets/d/1lOVebEIsI9qjGXl6EX66luk7wiuP2tBaryw-wKvv4e0/edit?usp=sharing"",""แพร่!M63"")+IMPORTRANGE(""https://docs.google.com/spreadsheets/d/1dQrvX"&amp;"0vEcN7Gu0fnZ0B5S90AeR19zth4XlExFBeExMY/edit?usp=sharing"",""แม่ฮ่องสอน!M63"")+IMPORTRANGE(""https://docs.google.com/spreadsheets/d/1DY4XTNNwjluuxqdfdn6qvOSlMRrZqUtmYcZR0ttFiG4/edit?usp=sharing"",""ลำปาง!M63"")+IMPORTRANGE(""https://docs.google.com/spreads"&amp;"heets/d/1ICwG78r0OFT8biBlxnBF8r7she7gNSzOvJ958PWT09c/edit?usp=sharing"",""ลำพูน!M63"")+IMPORTRANGE(""https://docs.google.com/spreadsheets/d/1B0f2xJpZUC6Z0xXnqKlZtEPzsf6L84eP1r1Q15seqRM/edit?usp=sharing"",""สุโขทัย!M63"")+IMPORTRANGE(""https://docs.google."&amp;"com/spreadsheets/d/1v0b9pFQCsKUVExMei7AgY2yQkdeNQvtOssygGsXbiKo/edit?usp=sharing"",""อุตรดิตถ์!M63"")+IMPORTRANGE(""https://docs.google.com/spreadsheets/d/1UsNK1e-WWiCo2PvGqdNfdme4m17_Ezd3J69EeeiQPD0/edit?usp=sharing"",""อุทัยธานี!M63"")"),0)</f>
        <v>0</v>
      </c>
      <c r="N63" s="59">
        <f ca="1">IFERROR(__xludf.DUMMYFUNCTION("IMPORTRANGE(""https://docs.google.com/spreadsheets/d/1jTcq05yEiRwXcBMLjiodW9e4biSGYWAHcDj22rKWQ3s/edit?usp=sharing"",""กำแพงเพชร!N63"")+IMPORTRANGE(""https://docs.google.com/spreadsheets/d/1KS0zmDSZPk8KnTAbGN-Xk6MtX1YRZD0ldgdt20K4CRk/edit?usp=sharing"","""&amp;"เชียงราย!N63"")+IMPORTRANGE(""https://docs.google.com/spreadsheets/d/1rEDxBtusbi64tE0zunoIbsTVV16HeL0oJ6trHQeQ7K8/edit?usp=sharing"",""เชียงใหม่!N63"")+IMPORTRANGE(""https://docs.google.com/spreadsheets/d/1W6MnUbDkMi6xHnHko_XkFDO9kkuL6Wqyc-6OCDFjW9I/edit?"&amp;"usp=sharing"",""ตาก!N63"")+IMPORTRANGE(""https://docs.google.com/spreadsheets/d/1IQAWArduLkta9LpYo4a_ULsyqdta6-6aDDiwpUnQT6c/edit?usp=sharing"",""นครสวรรค์!N63"")+IMPORTRANGE(""https://docs.google.com/spreadsheets/d/10s13Sk5xrltsiR-Zkbmk5DwIaDIKO8XlbJAfqy"&amp;"T7Gvg/edit?usp=sharing"",""น่าน!N63"")+IMPORTRANGE(""https://docs.google.com/spreadsheets/d/1uu4nAn4Dbi1XREnLKKotUANlKXa7yCgRcgq8HEzQYW8/edit?usp=sharing"",""พะเยา!N63"")+IMPORTRANGE(""https://docs.google.com/spreadsheets/d/1xfJKIQxVOaPDIICqsflNlLu3JacTDk"&amp;"1FP9RH4phX7mI/edit?usp=sharing"",""พิจิตร!N63"")+IMPORTRANGE(""https://docs.google.com/spreadsheets/d/1JtRfZkJMHtEhI5RdRHxYUG4FIZHqKDpNyIuN7A1Q0_k/edit?usp=sharing"",""พิษณุโลก!N63"")+IMPORTRANGE(""https://docs.google.com/spreadsheets/d/1xlcVZWUNn6SuWm0c3"&amp;"07h32SiGkd9BaeQWlAktfD3KO8/edit?usp=sharing"",""เพชรบูรณ์!N63"")+IMPORTRANGE(""https://docs.google.com/spreadsheets/d/1lOVebEIsI9qjGXl6EX66luk7wiuP2tBaryw-wKvv4e0/edit?usp=sharing"",""แพร่!N63"")+IMPORTRANGE(""https://docs.google.com/spreadsheets/d/1dQrvX"&amp;"0vEcN7Gu0fnZ0B5S90AeR19zth4XlExFBeExMY/edit?usp=sharing"",""แม่ฮ่องสอน!N63"")+IMPORTRANGE(""https://docs.google.com/spreadsheets/d/1DY4XTNNwjluuxqdfdn6qvOSlMRrZqUtmYcZR0ttFiG4/edit?usp=sharing"",""ลำปาง!N63"")+IMPORTRANGE(""https://docs.google.com/spreads"&amp;"heets/d/1ICwG78r0OFT8biBlxnBF8r7she7gNSzOvJ958PWT09c/edit?usp=sharing"",""ลำพูน!N63"")+IMPORTRANGE(""https://docs.google.com/spreadsheets/d/1B0f2xJpZUC6Z0xXnqKlZtEPzsf6L84eP1r1Q15seqRM/edit?usp=sharing"",""สุโขทัย!N63"")+IMPORTRANGE(""https://docs.google."&amp;"com/spreadsheets/d/1v0b9pFQCsKUVExMei7AgY2yQkdeNQvtOssygGsXbiKo/edit?usp=sharing"",""อุตรดิตถ์!N63"")+IMPORTRANGE(""https://docs.google.com/spreadsheets/d/1UsNK1e-WWiCo2PvGqdNfdme4m17_Ezd3J69EeeiQPD0/edit?usp=sharing"",""อุทัยธานี!N63"")"),0)</f>
        <v>0</v>
      </c>
      <c r="O63" s="59">
        <f t="shared" ca="1" si="26"/>
        <v>0</v>
      </c>
      <c r="P63" s="59">
        <f t="shared" ca="1" si="27"/>
        <v>0</v>
      </c>
    </row>
    <row r="64" spans="1:16" ht="18.75" x14ac:dyDescent="0.25">
      <c r="A64" s="52"/>
      <c r="B64" s="53"/>
      <c r="C64" s="53"/>
      <c r="D64" s="53"/>
      <c r="E64" s="60" t="s">
        <v>19</v>
      </c>
      <c r="F64" s="53"/>
      <c r="G64" s="55"/>
      <c r="H64" s="56" t="s">
        <v>12</v>
      </c>
      <c r="I64" s="57"/>
      <c r="J64" s="57"/>
      <c r="K64" s="58"/>
      <c r="L64" s="59">
        <f ca="1">IFERROR(__xludf.DUMMYFUNCTION("IMPORTRANGE(""https://docs.google.com/spreadsheets/d/1jTcq05yEiRwXcBMLjiodW9e4biSGYWAHcDj22rKWQ3s/edit?usp=sharing"",""กำแพงเพชร!L64"")+IMPORTRANGE(""https://docs.google.com/spreadsheets/d/1KS0zmDSZPk8KnTAbGN-Xk6MtX1YRZD0ldgdt20K4CRk/edit?usp=sharing"","""&amp;"เชียงราย!L64"")+IMPORTRANGE(""https://docs.google.com/spreadsheets/d/1rEDxBtusbi64tE0zunoIbsTVV16HeL0oJ6trHQeQ7K8/edit?usp=sharing"",""เชียงใหม่!L64"")+IMPORTRANGE(""https://docs.google.com/spreadsheets/d/1W6MnUbDkMi6xHnHko_XkFDO9kkuL6Wqyc-6OCDFjW9I/edit?"&amp;"usp=sharing"",""ตาก!L64"")+IMPORTRANGE(""https://docs.google.com/spreadsheets/d/1IQAWArduLkta9LpYo4a_ULsyqdta6-6aDDiwpUnQT6c/edit?usp=sharing"",""นครสวรรค์!L64"")+IMPORTRANGE(""https://docs.google.com/spreadsheets/d/10s13Sk5xrltsiR-Zkbmk5DwIaDIKO8XlbJAfqy"&amp;"T7Gvg/edit?usp=sharing"",""น่าน!L64"")+IMPORTRANGE(""https://docs.google.com/spreadsheets/d/1uu4nAn4Dbi1XREnLKKotUANlKXa7yCgRcgq8HEzQYW8/edit?usp=sharing"",""พะเยา!L64"")+IMPORTRANGE(""https://docs.google.com/spreadsheets/d/1xfJKIQxVOaPDIICqsflNlLu3JacTDk"&amp;"1FP9RH4phX7mI/edit?usp=sharing"",""พิจิตร!L64"")+IMPORTRANGE(""https://docs.google.com/spreadsheets/d/1JtRfZkJMHtEhI5RdRHxYUG4FIZHqKDpNyIuN7A1Q0_k/edit?usp=sharing"",""พิษณุโลก!L64"")+IMPORTRANGE(""https://docs.google.com/spreadsheets/d/1xlcVZWUNn6SuWm0c3"&amp;"07h32SiGkd9BaeQWlAktfD3KO8/edit?usp=sharing"",""เพชรบูรณ์!L64"")+IMPORTRANGE(""https://docs.google.com/spreadsheets/d/1lOVebEIsI9qjGXl6EX66luk7wiuP2tBaryw-wKvv4e0/edit?usp=sharing"",""แพร่!L64"")+IMPORTRANGE(""https://docs.google.com/spreadsheets/d/1dQrvX"&amp;"0vEcN7Gu0fnZ0B5S90AeR19zth4XlExFBeExMY/edit?usp=sharing"",""แม่ฮ่องสอน!L64"")+IMPORTRANGE(""https://docs.google.com/spreadsheets/d/1DY4XTNNwjluuxqdfdn6qvOSlMRrZqUtmYcZR0ttFiG4/edit?usp=sharing"",""ลำปาง!L64"")+IMPORTRANGE(""https://docs.google.com/spreads"&amp;"heets/d/1ICwG78r0OFT8biBlxnBF8r7she7gNSzOvJ958PWT09c/edit?usp=sharing"",""ลำพูน!L64"")+IMPORTRANGE(""https://docs.google.com/spreadsheets/d/1B0f2xJpZUC6Z0xXnqKlZtEPzsf6L84eP1r1Q15seqRM/edit?usp=sharing"",""สุโขทัย!L64"")+IMPORTRANGE(""https://docs.google."&amp;"com/spreadsheets/d/1v0b9pFQCsKUVExMei7AgY2yQkdeNQvtOssygGsXbiKo/edit?usp=sharing"",""อุตรดิตถ์!L64"")+IMPORTRANGE(""https://docs.google.com/spreadsheets/d/1UsNK1e-WWiCo2PvGqdNfdme4m17_Ezd3J69EeeiQPD0/edit?usp=sharing"",""อุทัยธานี!L64"")"),8691100)</f>
        <v>8691100</v>
      </c>
      <c r="M64" s="59">
        <f ca="1">IFERROR(__xludf.DUMMYFUNCTION("IMPORTRANGE(""https://docs.google.com/spreadsheets/d/1jTcq05yEiRwXcBMLjiodW9e4biSGYWAHcDj22rKWQ3s/edit?usp=sharing"",""กำแพงเพชร!M64"")+IMPORTRANGE(""https://docs.google.com/spreadsheets/d/1KS0zmDSZPk8KnTAbGN-Xk6MtX1YRZD0ldgdt20K4CRk/edit?usp=sharing"","""&amp;"เชียงราย!M64"")+IMPORTRANGE(""https://docs.google.com/spreadsheets/d/1rEDxBtusbi64tE0zunoIbsTVV16HeL0oJ6trHQeQ7K8/edit?usp=sharing"",""เชียงใหม่!M64"")+IMPORTRANGE(""https://docs.google.com/spreadsheets/d/1W6MnUbDkMi6xHnHko_XkFDO9kkuL6Wqyc-6OCDFjW9I/edit?"&amp;"usp=sharing"",""ตาก!M64"")+IMPORTRANGE(""https://docs.google.com/spreadsheets/d/1IQAWArduLkta9LpYo4a_ULsyqdta6-6aDDiwpUnQT6c/edit?usp=sharing"",""นครสวรรค์!M64"")+IMPORTRANGE(""https://docs.google.com/spreadsheets/d/10s13Sk5xrltsiR-Zkbmk5DwIaDIKO8XlbJAfqy"&amp;"T7Gvg/edit?usp=sharing"",""น่าน!M64"")+IMPORTRANGE(""https://docs.google.com/spreadsheets/d/1uu4nAn4Dbi1XREnLKKotUANlKXa7yCgRcgq8HEzQYW8/edit?usp=sharing"",""พะเยา!M64"")+IMPORTRANGE(""https://docs.google.com/spreadsheets/d/1xfJKIQxVOaPDIICqsflNlLu3JacTDk"&amp;"1FP9RH4phX7mI/edit?usp=sharing"",""พิจิตร!M64"")+IMPORTRANGE(""https://docs.google.com/spreadsheets/d/1JtRfZkJMHtEhI5RdRHxYUG4FIZHqKDpNyIuN7A1Q0_k/edit?usp=sharing"",""พิษณุโลก!M64"")+IMPORTRANGE(""https://docs.google.com/spreadsheets/d/1xlcVZWUNn6SuWm0c3"&amp;"07h32SiGkd9BaeQWlAktfD3KO8/edit?usp=sharing"",""เพชรบูรณ์!M64"")+IMPORTRANGE(""https://docs.google.com/spreadsheets/d/1lOVebEIsI9qjGXl6EX66luk7wiuP2tBaryw-wKvv4e0/edit?usp=sharing"",""แพร่!M64"")+IMPORTRANGE(""https://docs.google.com/spreadsheets/d/1dQrvX"&amp;"0vEcN7Gu0fnZ0B5S90AeR19zth4XlExFBeExMY/edit?usp=sharing"",""แม่ฮ่องสอน!M64"")+IMPORTRANGE(""https://docs.google.com/spreadsheets/d/1DY4XTNNwjluuxqdfdn6qvOSlMRrZqUtmYcZR0ttFiG4/edit?usp=sharing"",""ลำปาง!M64"")+IMPORTRANGE(""https://docs.google.com/spreads"&amp;"heets/d/1ICwG78r0OFT8biBlxnBF8r7she7gNSzOvJ958PWT09c/edit?usp=sharing"",""ลำพูน!M64"")+IMPORTRANGE(""https://docs.google.com/spreadsheets/d/1B0f2xJpZUC6Z0xXnqKlZtEPzsf6L84eP1r1Q15seqRM/edit?usp=sharing"",""สุโขทัย!M64"")+IMPORTRANGE(""https://docs.google."&amp;"com/spreadsheets/d/1v0b9pFQCsKUVExMei7AgY2yQkdeNQvtOssygGsXbiKo/edit?usp=sharing"",""อุตรดิตถ์!M64"")+IMPORTRANGE(""https://docs.google.com/spreadsheets/d/1UsNK1e-WWiCo2PvGqdNfdme4m17_Ezd3J69EeeiQPD0/edit?usp=sharing"",""อุทัยธานี!M64"")"),6674630)</f>
        <v>6674630</v>
      </c>
      <c r="N64" s="59">
        <f ca="1">IFERROR(__xludf.DUMMYFUNCTION("IMPORTRANGE(""https://docs.google.com/spreadsheets/d/1jTcq05yEiRwXcBMLjiodW9e4biSGYWAHcDj22rKWQ3s/edit?usp=sharing"",""กำแพงเพชร!N64"")+IMPORTRANGE(""https://docs.google.com/spreadsheets/d/1KS0zmDSZPk8KnTAbGN-Xk6MtX1YRZD0ldgdt20K4CRk/edit?usp=sharing"","""&amp;"เชียงราย!N64"")+IMPORTRANGE(""https://docs.google.com/spreadsheets/d/1rEDxBtusbi64tE0zunoIbsTVV16HeL0oJ6trHQeQ7K8/edit?usp=sharing"",""เชียงใหม่!N64"")+IMPORTRANGE(""https://docs.google.com/spreadsheets/d/1W6MnUbDkMi6xHnHko_XkFDO9kkuL6Wqyc-6OCDFjW9I/edit?"&amp;"usp=sharing"",""ตาก!N64"")+IMPORTRANGE(""https://docs.google.com/spreadsheets/d/1IQAWArduLkta9LpYo4a_ULsyqdta6-6aDDiwpUnQT6c/edit?usp=sharing"",""นครสวรรค์!N64"")+IMPORTRANGE(""https://docs.google.com/spreadsheets/d/10s13Sk5xrltsiR-Zkbmk5DwIaDIKO8XlbJAfqy"&amp;"T7Gvg/edit?usp=sharing"",""น่าน!N64"")+IMPORTRANGE(""https://docs.google.com/spreadsheets/d/1uu4nAn4Dbi1XREnLKKotUANlKXa7yCgRcgq8HEzQYW8/edit?usp=sharing"",""พะเยา!N64"")+IMPORTRANGE(""https://docs.google.com/spreadsheets/d/1xfJKIQxVOaPDIICqsflNlLu3JacTDk"&amp;"1FP9RH4phX7mI/edit?usp=sharing"",""พิจิตร!N64"")+IMPORTRANGE(""https://docs.google.com/spreadsheets/d/1JtRfZkJMHtEhI5RdRHxYUG4FIZHqKDpNyIuN7A1Q0_k/edit?usp=sharing"",""พิษณุโลก!N64"")+IMPORTRANGE(""https://docs.google.com/spreadsheets/d/1xlcVZWUNn6SuWm0c3"&amp;"07h32SiGkd9BaeQWlAktfD3KO8/edit?usp=sharing"",""เพชรบูรณ์!N64"")+IMPORTRANGE(""https://docs.google.com/spreadsheets/d/1lOVebEIsI9qjGXl6EX66luk7wiuP2tBaryw-wKvv4e0/edit?usp=sharing"",""แพร่!N64"")+IMPORTRANGE(""https://docs.google.com/spreadsheets/d/1dQrvX"&amp;"0vEcN7Gu0fnZ0B5S90AeR19zth4XlExFBeExMY/edit?usp=sharing"",""แม่ฮ่องสอน!N64"")+IMPORTRANGE(""https://docs.google.com/spreadsheets/d/1DY4XTNNwjluuxqdfdn6qvOSlMRrZqUtmYcZR0ttFiG4/edit?usp=sharing"",""ลำปาง!N64"")+IMPORTRANGE(""https://docs.google.com/spreads"&amp;"heets/d/1ICwG78r0OFT8biBlxnBF8r7she7gNSzOvJ958PWT09c/edit?usp=sharing"",""ลำพูน!N64"")+IMPORTRANGE(""https://docs.google.com/spreadsheets/d/1B0f2xJpZUC6Z0xXnqKlZtEPzsf6L84eP1r1Q15seqRM/edit?usp=sharing"",""สุโขทัย!N64"")+IMPORTRANGE(""https://docs.google."&amp;"com/spreadsheets/d/1v0b9pFQCsKUVExMei7AgY2yQkdeNQvtOssygGsXbiKo/edit?usp=sharing"",""อุตรดิตถ์!N64"")+IMPORTRANGE(""https://docs.google.com/spreadsheets/d/1UsNK1e-WWiCo2PvGqdNfdme4m17_Ezd3J69EeeiQPD0/edit?usp=sharing"",""อุทัยธานี!N64"")"),4142916.33999999)</f>
        <v>4142916.3399999901</v>
      </c>
      <c r="O64" s="59">
        <f t="shared" ca="1" si="26"/>
        <v>47.668492365753359</v>
      </c>
      <c r="P64" s="59">
        <f t="shared" ca="1" si="27"/>
        <v>62.069602959265005</v>
      </c>
    </row>
    <row r="65" spans="1:16" ht="18.75" x14ac:dyDescent="0.25">
      <c r="A65" s="52"/>
      <c r="B65" s="53"/>
      <c r="C65" s="53"/>
      <c r="D65" s="54" t="s">
        <v>21</v>
      </c>
      <c r="E65" s="53"/>
      <c r="F65" s="53"/>
      <c r="G65" s="55"/>
      <c r="H65" s="56" t="s">
        <v>12</v>
      </c>
      <c r="I65" s="57"/>
      <c r="J65" s="57"/>
      <c r="K65" s="58"/>
      <c r="L65" s="59">
        <f t="shared" ref="L65:N65" ca="1" si="31">L66+L67</f>
        <v>0</v>
      </c>
      <c r="M65" s="59">
        <f t="shared" ca="1" si="31"/>
        <v>0</v>
      </c>
      <c r="N65" s="59">
        <f t="shared" ca="1" si="31"/>
        <v>0</v>
      </c>
      <c r="O65" s="59">
        <f t="shared" ca="1" si="26"/>
        <v>0</v>
      </c>
      <c r="P65" s="59">
        <f t="shared" ca="1" si="27"/>
        <v>0</v>
      </c>
    </row>
    <row r="66" spans="1:16" ht="18.75" x14ac:dyDescent="0.25">
      <c r="A66" s="52"/>
      <c r="B66" s="53"/>
      <c r="C66" s="53"/>
      <c r="D66" s="53"/>
      <c r="E66" s="60" t="s">
        <v>18</v>
      </c>
      <c r="F66" s="53"/>
      <c r="G66" s="55"/>
      <c r="H66" s="56" t="s">
        <v>12</v>
      </c>
      <c r="I66" s="57"/>
      <c r="J66" s="57"/>
      <c r="K66" s="58"/>
      <c r="L66" s="59">
        <f ca="1">IFERROR(__xludf.DUMMYFUNCTION("IMPORTRANGE(""https://docs.google.com/spreadsheets/d/1jTcq05yEiRwXcBMLjiodW9e4biSGYWAHcDj22rKWQ3s/edit?usp=sharing"",""กำแพงเพชร!L66"")+IMPORTRANGE(""https://docs.google.com/spreadsheets/d/1KS0zmDSZPk8KnTAbGN-Xk6MtX1YRZD0ldgdt20K4CRk/edit?usp=sharing"","""&amp;"เชียงราย!L66"")+IMPORTRANGE(""https://docs.google.com/spreadsheets/d/1rEDxBtusbi64tE0zunoIbsTVV16HeL0oJ6trHQeQ7K8/edit?usp=sharing"",""เชียงใหม่!L66"")+IMPORTRANGE(""https://docs.google.com/spreadsheets/d/1W6MnUbDkMi6xHnHko_XkFDO9kkuL6Wqyc-6OCDFjW9I/edit?"&amp;"usp=sharing"",""ตาก!L66"")+IMPORTRANGE(""https://docs.google.com/spreadsheets/d/1IQAWArduLkta9LpYo4a_ULsyqdta6-6aDDiwpUnQT6c/edit?usp=sharing"",""นครสวรรค์!L66"")+IMPORTRANGE(""https://docs.google.com/spreadsheets/d/10s13Sk5xrltsiR-Zkbmk5DwIaDIKO8XlbJAfqy"&amp;"T7Gvg/edit?usp=sharing"",""น่าน!L66"")+IMPORTRANGE(""https://docs.google.com/spreadsheets/d/1uu4nAn4Dbi1XREnLKKotUANlKXa7yCgRcgq8HEzQYW8/edit?usp=sharing"",""พะเยา!L66"")+IMPORTRANGE(""https://docs.google.com/spreadsheets/d/1xfJKIQxVOaPDIICqsflNlLu3JacTDk"&amp;"1FP9RH4phX7mI/edit?usp=sharing"",""พิจิตร!L66"")+IMPORTRANGE(""https://docs.google.com/spreadsheets/d/1JtRfZkJMHtEhI5RdRHxYUG4FIZHqKDpNyIuN7A1Q0_k/edit?usp=sharing"",""พิษณุโลก!L66"")+IMPORTRANGE(""https://docs.google.com/spreadsheets/d/1xlcVZWUNn6SuWm0c3"&amp;"07h32SiGkd9BaeQWlAktfD3KO8/edit?usp=sharing"",""เพชรบูรณ์!L66"")+IMPORTRANGE(""https://docs.google.com/spreadsheets/d/1lOVebEIsI9qjGXl6EX66luk7wiuP2tBaryw-wKvv4e0/edit?usp=sharing"",""แพร่!L66"")+IMPORTRANGE(""https://docs.google.com/spreadsheets/d/1dQrvX"&amp;"0vEcN7Gu0fnZ0B5S90AeR19zth4XlExFBeExMY/edit?usp=sharing"",""แม่ฮ่องสอน!L66"")+IMPORTRANGE(""https://docs.google.com/spreadsheets/d/1DY4XTNNwjluuxqdfdn6qvOSlMRrZqUtmYcZR0ttFiG4/edit?usp=sharing"",""ลำปาง!L66"")+IMPORTRANGE(""https://docs.google.com/spreads"&amp;"heets/d/1ICwG78r0OFT8biBlxnBF8r7she7gNSzOvJ958PWT09c/edit?usp=sharing"",""ลำพูน!L66"")+IMPORTRANGE(""https://docs.google.com/spreadsheets/d/1B0f2xJpZUC6Z0xXnqKlZtEPzsf6L84eP1r1Q15seqRM/edit?usp=sharing"",""สุโขทัย!L66"")+IMPORTRANGE(""https://docs.google."&amp;"com/spreadsheets/d/1v0b9pFQCsKUVExMei7AgY2yQkdeNQvtOssygGsXbiKo/edit?usp=sharing"",""อุตรดิตถ์!L66"")+IMPORTRANGE(""https://docs.google.com/spreadsheets/d/1UsNK1e-WWiCo2PvGqdNfdme4m17_Ezd3J69EeeiQPD0/edit?usp=sharing"",""อุทัยธานี!L66"")"),0)</f>
        <v>0</v>
      </c>
      <c r="M66" s="59">
        <f ca="1">IFERROR(__xludf.DUMMYFUNCTION("IMPORTRANGE(""https://docs.google.com/spreadsheets/d/1jTcq05yEiRwXcBMLjiodW9e4biSGYWAHcDj22rKWQ3s/edit?usp=sharing"",""กำแพงเพชร!M66"")+IMPORTRANGE(""https://docs.google.com/spreadsheets/d/1KS0zmDSZPk8KnTAbGN-Xk6MtX1YRZD0ldgdt20K4CRk/edit?usp=sharing"","""&amp;"เชียงราย!M66"")+IMPORTRANGE(""https://docs.google.com/spreadsheets/d/1rEDxBtusbi64tE0zunoIbsTVV16HeL0oJ6trHQeQ7K8/edit?usp=sharing"",""เชียงใหม่!M66"")+IMPORTRANGE(""https://docs.google.com/spreadsheets/d/1W6MnUbDkMi6xHnHko_XkFDO9kkuL6Wqyc-6OCDFjW9I/edit?"&amp;"usp=sharing"",""ตาก!M66"")+IMPORTRANGE(""https://docs.google.com/spreadsheets/d/1IQAWArduLkta9LpYo4a_ULsyqdta6-6aDDiwpUnQT6c/edit?usp=sharing"",""นครสวรรค์!M66"")+IMPORTRANGE(""https://docs.google.com/spreadsheets/d/10s13Sk5xrltsiR-Zkbmk5DwIaDIKO8XlbJAfqy"&amp;"T7Gvg/edit?usp=sharing"",""น่าน!M66"")+IMPORTRANGE(""https://docs.google.com/spreadsheets/d/1uu4nAn4Dbi1XREnLKKotUANlKXa7yCgRcgq8HEzQYW8/edit?usp=sharing"",""พะเยา!M66"")+IMPORTRANGE(""https://docs.google.com/spreadsheets/d/1xfJKIQxVOaPDIICqsflNlLu3JacTDk"&amp;"1FP9RH4phX7mI/edit?usp=sharing"",""พิจิตร!M66"")+IMPORTRANGE(""https://docs.google.com/spreadsheets/d/1JtRfZkJMHtEhI5RdRHxYUG4FIZHqKDpNyIuN7A1Q0_k/edit?usp=sharing"",""พิษณุโลก!M66"")+IMPORTRANGE(""https://docs.google.com/spreadsheets/d/1xlcVZWUNn6SuWm0c3"&amp;"07h32SiGkd9BaeQWlAktfD3KO8/edit?usp=sharing"",""เพชรบูรณ์!M66"")+IMPORTRANGE(""https://docs.google.com/spreadsheets/d/1lOVebEIsI9qjGXl6EX66luk7wiuP2tBaryw-wKvv4e0/edit?usp=sharing"",""แพร่!M66"")+IMPORTRANGE(""https://docs.google.com/spreadsheets/d/1dQrvX"&amp;"0vEcN7Gu0fnZ0B5S90AeR19zth4XlExFBeExMY/edit?usp=sharing"",""แม่ฮ่องสอน!M66"")+IMPORTRANGE(""https://docs.google.com/spreadsheets/d/1DY4XTNNwjluuxqdfdn6qvOSlMRrZqUtmYcZR0ttFiG4/edit?usp=sharing"",""ลำปาง!M66"")+IMPORTRANGE(""https://docs.google.com/spreads"&amp;"heets/d/1ICwG78r0OFT8biBlxnBF8r7she7gNSzOvJ958PWT09c/edit?usp=sharing"",""ลำพูน!M66"")+IMPORTRANGE(""https://docs.google.com/spreadsheets/d/1B0f2xJpZUC6Z0xXnqKlZtEPzsf6L84eP1r1Q15seqRM/edit?usp=sharing"",""สุโขทัย!M66"")+IMPORTRANGE(""https://docs.google."&amp;"com/spreadsheets/d/1v0b9pFQCsKUVExMei7AgY2yQkdeNQvtOssygGsXbiKo/edit?usp=sharing"",""อุตรดิตถ์!M66"")+IMPORTRANGE(""https://docs.google.com/spreadsheets/d/1UsNK1e-WWiCo2PvGqdNfdme4m17_Ezd3J69EeeiQPD0/edit?usp=sharing"",""อุทัยธานี!M66"")"),0)</f>
        <v>0</v>
      </c>
      <c r="N66" s="59">
        <f ca="1">IFERROR(__xludf.DUMMYFUNCTION("IMPORTRANGE(""https://docs.google.com/spreadsheets/d/1jTcq05yEiRwXcBMLjiodW9e4biSGYWAHcDj22rKWQ3s/edit?usp=sharing"",""กำแพงเพชร!N66"")+IMPORTRANGE(""https://docs.google.com/spreadsheets/d/1KS0zmDSZPk8KnTAbGN-Xk6MtX1YRZD0ldgdt20K4CRk/edit?usp=sharing"","""&amp;"เชียงราย!N66"")+IMPORTRANGE(""https://docs.google.com/spreadsheets/d/1rEDxBtusbi64tE0zunoIbsTVV16HeL0oJ6trHQeQ7K8/edit?usp=sharing"",""เชียงใหม่!N66"")+IMPORTRANGE(""https://docs.google.com/spreadsheets/d/1W6MnUbDkMi6xHnHko_XkFDO9kkuL6Wqyc-6OCDFjW9I/edit?"&amp;"usp=sharing"",""ตาก!N66"")+IMPORTRANGE(""https://docs.google.com/spreadsheets/d/1IQAWArduLkta9LpYo4a_ULsyqdta6-6aDDiwpUnQT6c/edit?usp=sharing"",""นครสวรรค์!N66"")+IMPORTRANGE(""https://docs.google.com/spreadsheets/d/10s13Sk5xrltsiR-Zkbmk5DwIaDIKO8XlbJAfqy"&amp;"T7Gvg/edit?usp=sharing"",""น่าน!N66"")+IMPORTRANGE(""https://docs.google.com/spreadsheets/d/1uu4nAn4Dbi1XREnLKKotUANlKXa7yCgRcgq8HEzQYW8/edit?usp=sharing"",""พะเยา!N66"")+IMPORTRANGE(""https://docs.google.com/spreadsheets/d/1xfJKIQxVOaPDIICqsflNlLu3JacTDk"&amp;"1FP9RH4phX7mI/edit?usp=sharing"",""พิจิตร!N66"")+IMPORTRANGE(""https://docs.google.com/spreadsheets/d/1JtRfZkJMHtEhI5RdRHxYUG4FIZHqKDpNyIuN7A1Q0_k/edit?usp=sharing"",""พิษณุโลก!N66"")+IMPORTRANGE(""https://docs.google.com/spreadsheets/d/1xlcVZWUNn6SuWm0c3"&amp;"07h32SiGkd9BaeQWlAktfD3KO8/edit?usp=sharing"",""เพชรบูรณ์!N66"")+IMPORTRANGE(""https://docs.google.com/spreadsheets/d/1lOVebEIsI9qjGXl6EX66luk7wiuP2tBaryw-wKvv4e0/edit?usp=sharing"",""แพร่!N66"")+IMPORTRANGE(""https://docs.google.com/spreadsheets/d/1dQrvX"&amp;"0vEcN7Gu0fnZ0B5S90AeR19zth4XlExFBeExMY/edit?usp=sharing"",""แม่ฮ่องสอน!N66"")+IMPORTRANGE(""https://docs.google.com/spreadsheets/d/1DY4XTNNwjluuxqdfdn6qvOSlMRrZqUtmYcZR0ttFiG4/edit?usp=sharing"",""ลำปาง!N66"")+IMPORTRANGE(""https://docs.google.com/spreads"&amp;"heets/d/1ICwG78r0OFT8biBlxnBF8r7she7gNSzOvJ958PWT09c/edit?usp=sharing"",""ลำพูน!N66"")+IMPORTRANGE(""https://docs.google.com/spreadsheets/d/1B0f2xJpZUC6Z0xXnqKlZtEPzsf6L84eP1r1Q15seqRM/edit?usp=sharing"",""สุโขทัย!N66"")+IMPORTRANGE(""https://docs.google."&amp;"com/spreadsheets/d/1v0b9pFQCsKUVExMei7AgY2yQkdeNQvtOssygGsXbiKo/edit?usp=sharing"",""อุตรดิตถ์!N66"")+IMPORTRANGE(""https://docs.google.com/spreadsheets/d/1UsNK1e-WWiCo2PvGqdNfdme4m17_Ezd3J69EeeiQPD0/edit?usp=sharing"",""อุทัยธานี!N66"")"),0)</f>
        <v>0</v>
      </c>
      <c r="O66" s="59">
        <f t="shared" ca="1" si="26"/>
        <v>0</v>
      </c>
      <c r="P66" s="59">
        <f t="shared" ca="1" si="27"/>
        <v>0</v>
      </c>
    </row>
    <row r="67" spans="1:16" ht="18.75" x14ac:dyDescent="0.25">
      <c r="A67" s="133"/>
      <c r="B67" s="1"/>
      <c r="C67" s="1"/>
      <c r="D67" s="1"/>
      <c r="E67" s="134" t="s">
        <v>19</v>
      </c>
      <c r="F67" s="1"/>
      <c r="G67" s="135"/>
      <c r="H67" s="136" t="s">
        <v>12</v>
      </c>
      <c r="I67" s="137"/>
      <c r="J67" s="137"/>
      <c r="K67" s="138"/>
      <c r="L67" s="139">
        <f ca="1">IFERROR(__xludf.DUMMYFUNCTION("IMPORTRANGE(""https://docs.google.com/spreadsheets/d/1jTcq05yEiRwXcBMLjiodW9e4biSGYWAHcDj22rKWQ3s/edit?usp=sharing"",""กำแพงเพชร!L67"")+IMPORTRANGE(""https://docs.google.com/spreadsheets/d/1KS0zmDSZPk8KnTAbGN-Xk6MtX1YRZD0ldgdt20K4CRk/edit?usp=sharing"","""&amp;"เชียงราย!L67"")+IMPORTRANGE(""https://docs.google.com/spreadsheets/d/1rEDxBtusbi64tE0zunoIbsTVV16HeL0oJ6trHQeQ7K8/edit?usp=sharing"",""เชียงใหม่!L67"")+IMPORTRANGE(""https://docs.google.com/spreadsheets/d/1W6MnUbDkMi6xHnHko_XkFDO9kkuL6Wqyc-6OCDFjW9I/edit?"&amp;"usp=sharing"",""ตาก!L67"")+IMPORTRANGE(""https://docs.google.com/spreadsheets/d/1IQAWArduLkta9LpYo4a_ULsyqdta6-6aDDiwpUnQT6c/edit?usp=sharing"",""นครสวรรค์!L67"")+IMPORTRANGE(""https://docs.google.com/spreadsheets/d/10s13Sk5xrltsiR-Zkbmk5DwIaDIKO8XlbJAfqy"&amp;"T7Gvg/edit?usp=sharing"",""น่าน!L67"")+IMPORTRANGE(""https://docs.google.com/spreadsheets/d/1uu4nAn4Dbi1XREnLKKotUANlKXa7yCgRcgq8HEzQYW8/edit?usp=sharing"",""พะเยา!L67"")+IMPORTRANGE(""https://docs.google.com/spreadsheets/d/1xfJKIQxVOaPDIICqsflNlLu3JacTDk"&amp;"1FP9RH4phX7mI/edit?usp=sharing"",""พิจิตร!L67"")+IMPORTRANGE(""https://docs.google.com/spreadsheets/d/1JtRfZkJMHtEhI5RdRHxYUG4FIZHqKDpNyIuN7A1Q0_k/edit?usp=sharing"",""พิษณุโลก!L67"")+IMPORTRANGE(""https://docs.google.com/spreadsheets/d/1xlcVZWUNn6SuWm0c3"&amp;"07h32SiGkd9BaeQWlAktfD3KO8/edit?usp=sharing"",""เพชรบูรณ์!L67"")+IMPORTRANGE(""https://docs.google.com/spreadsheets/d/1lOVebEIsI9qjGXl6EX66luk7wiuP2tBaryw-wKvv4e0/edit?usp=sharing"",""แพร่!L67"")+IMPORTRANGE(""https://docs.google.com/spreadsheets/d/1dQrvX"&amp;"0vEcN7Gu0fnZ0B5S90AeR19zth4XlExFBeExMY/edit?usp=sharing"",""แม่ฮ่องสอน!L67"")+IMPORTRANGE(""https://docs.google.com/spreadsheets/d/1DY4XTNNwjluuxqdfdn6qvOSlMRrZqUtmYcZR0ttFiG4/edit?usp=sharing"",""ลำปาง!L67"")+IMPORTRANGE(""https://docs.google.com/spreads"&amp;"heets/d/1ICwG78r0OFT8biBlxnBF8r7she7gNSzOvJ958PWT09c/edit?usp=sharing"",""ลำพูน!L67"")+IMPORTRANGE(""https://docs.google.com/spreadsheets/d/1B0f2xJpZUC6Z0xXnqKlZtEPzsf6L84eP1r1Q15seqRM/edit?usp=sharing"",""สุโขทัย!L67"")+IMPORTRANGE(""https://docs.google."&amp;"com/spreadsheets/d/1v0b9pFQCsKUVExMei7AgY2yQkdeNQvtOssygGsXbiKo/edit?usp=sharing"",""อุตรดิตถ์!L67"")+IMPORTRANGE(""https://docs.google.com/spreadsheets/d/1UsNK1e-WWiCo2PvGqdNfdme4m17_Ezd3J69EeeiQPD0/edit?usp=sharing"",""อุทัยธานี!L67"")"),0)</f>
        <v>0</v>
      </c>
      <c r="M67" s="139">
        <f ca="1">IFERROR(__xludf.DUMMYFUNCTION("IMPORTRANGE(""https://docs.google.com/spreadsheets/d/1jTcq05yEiRwXcBMLjiodW9e4biSGYWAHcDj22rKWQ3s/edit?usp=sharing"",""กำแพงเพชร!M67"")+IMPORTRANGE(""https://docs.google.com/spreadsheets/d/1KS0zmDSZPk8KnTAbGN-Xk6MtX1YRZD0ldgdt20K4CRk/edit?usp=sharing"","""&amp;"เชียงราย!M67"")+IMPORTRANGE(""https://docs.google.com/spreadsheets/d/1rEDxBtusbi64tE0zunoIbsTVV16HeL0oJ6trHQeQ7K8/edit?usp=sharing"",""เชียงใหม่!M67"")+IMPORTRANGE(""https://docs.google.com/spreadsheets/d/1W6MnUbDkMi6xHnHko_XkFDO9kkuL6Wqyc-6OCDFjW9I/edit?"&amp;"usp=sharing"",""ตาก!M67"")+IMPORTRANGE(""https://docs.google.com/spreadsheets/d/1IQAWArduLkta9LpYo4a_ULsyqdta6-6aDDiwpUnQT6c/edit?usp=sharing"",""นครสวรรค์!M67"")+IMPORTRANGE(""https://docs.google.com/spreadsheets/d/10s13Sk5xrltsiR-Zkbmk5DwIaDIKO8XlbJAfqy"&amp;"T7Gvg/edit?usp=sharing"",""น่าน!M67"")+IMPORTRANGE(""https://docs.google.com/spreadsheets/d/1uu4nAn4Dbi1XREnLKKotUANlKXa7yCgRcgq8HEzQYW8/edit?usp=sharing"",""พะเยา!M67"")+IMPORTRANGE(""https://docs.google.com/spreadsheets/d/1xfJKIQxVOaPDIICqsflNlLu3JacTDk"&amp;"1FP9RH4phX7mI/edit?usp=sharing"",""พิจิตร!M67"")+IMPORTRANGE(""https://docs.google.com/spreadsheets/d/1JtRfZkJMHtEhI5RdRHxYUG4FIZHqKDpNyIuN7A1Q0_k/edit?usp=sharing"",""พิษณุโลก!M67"")+IMPORTRANGE(""https://docs.google.com/spreadsheets/d/1xlcVZWUNn6SuWm0c3"&amp;"07h32SiGkd9BaeQWlAktfD3KO8/edit?usp=sharing"",""เพชรบูรณ์!M67"")+IMPORTRANGE(""https://docs.google.com/spreadsheets/d/1lOVebEIsI9qjGXl6EX66luk7wiuP2tBaryw-wKvv4e0/edit?usp=sharing"",""แพร่!M67"")+IMPORTRANGE(""https://docs.google.com/spreadsheets/d/1dQrvX"&amp;"0vEcN7Gu0fnZ0B5S90AeR19zth4XlExFBeExMY/edit?usp=sharing"",""แม่ฮ่องสอน!M67"")+IMPORTRANGE(""https://docs.google.com/spreadsheets/d/1DY4XTNNwjluuxqdfdn6qvOSlMRrZqUtmYcZR0ttFiG4/edit?usp=sharing"",""ลำปาง!M67"")+IMPORTRANGE(""https://docs.google.com/spreads"&amp;"heets/d/1ICwG78r0OFT8biBlxnBF8r7she7gNSzOvJ958PWT09c/edit?usp=sharing"",""ลำพูน!M67"")+IMPORTRANGE(""https://docs.google.com/spreadsheets/d/1B0f2xJpZUC6Z0xXnqKlZtEPzsf6L84eP1r1Q15seqRM/edit?usp=sharing"",""สุโขทัย!M67"")+IMPORTRANGE(""https://docs.google."&amp;"com/spreadsheets/d/1v0b9pFQCsKUVExMei7AgY2yQkdeNQvtOssygGsXbiKo/edit?usp=sharing"",""อุตรดิตถ์!M67"")+IMPORTRANGE(""https://docs.google.com/spreadsheets/d/1UsNK1e-WWiCo2PvGqdNfdme4m17_Ezd3J69EeeiQPD0/edit?usp=sharing"",""อุทัยธานี!M67"")"),0)</f>
        <v>0</v>
      </c>
      <c r="N67" s="139">
        <f ca="1">IFERROR(__xludf.DUMMYFUNCTION("IMPORTRANGE(""https://docs.google.com/spreadsheets/d/1jTcq05yEiRwXcBMLjiodW9e4biSGYWAHcDj22rKWQ3s/edit?usp=sharing"",""กำแพงเพชร!N67"")+IMPORTRANGE(""https://docs.google.com/spreadsheets/d/1KS0zmDSZPk8KnTAbGN-Xk6MtX1YRZD0ldgdt20K4CRk/edit?usp=sharing"","""&amp;"เชียงราย!N67"")+IMPORTRANGE(""https://docs.google.com/spreadsheets/d/1rEDxBtusbi64tE0zunoIbsTVV16HeL0oJ6trHQeQ7K8/edit?usp=sharing"",""เชียงใหม่!N67"")+IMPORTRANGE(""https://docs.google.com/spreadsheets/d/1W6MnUbDkMi6xHnHko_XkFDO9kkuL6Wqyc-6OCDFjW9I/edit?"&amp;"usp=sharing"",""ตาก!N67"")+IMPORTRANGE(""https://docs.google.com/spreadsheets/d/1IQAWArduLkta9LpYo4a_ULsyqdta6-6aDDiwpUnQT6c/edit?usp=sharing"",""นครสวรรค์!N67"")+IMPORTRANGE(""https://docs.google.com/spreadsheets/d/10s13Sk5xrltsiR-Zkbmk5DwIaDIKO8XlbJAfqy"&amp;"T7Gvg/edit?usp=sharing"",""น่าน!N67"")+IMPORTRANGE(""https://docs.google.com/spreadsheets/d/1uu4nAn4Dbi1XREnLKKotUANlKXa7yCgRcgq8HEzQYW8/edit?usp=sharing"",""พะเยา!N67"")+IMPORTRANGE(""https://docs.google.com/spreadsheets/d/1xfJKIQxVOaPDIICqsflNlLu3JacTDk"&amp;"1FP9RH4phX7mI/edit?usp=sharing"",""พิจิตร!N67"")+IMPORTRANGE(""https://docs.google.com/spreadsheets/d/1JtRfZkJMHtEhI5RdRHxYUG4FIZHqKDpNyIuN7A1Q0_k/edit?usp=sharing"",""พิษณุโลก!N67"")+IMPORTRANGE(""https://docs.google.com/spreadsheets/d/1xlcVZWUNn6SuWm0c3"&amp;"07h32SiGkd9BaeQWlAktfD3KO8/edit?usp=sharing"",""เพชรบูรณ์!N67"")+IMPORTRANGE(""https://docs.google.com/spreadsheets/d/1lOVebEIsI9qjGXl6EX66luk7wiuP2tBaryw-wKvv4e0/edit?usp=sharing"",""แพร่!N67"")+IMPORTRANGE(""https://docs.google.com/spreadsheets/d/1dQrvX"&amp;"0vEcN7Gu0fnZ0B5S90AeR19zth4XlExFBeExMY/edit?usp=sharing"",""แม่ฮ่องสอน!N67"")+IMPORTRANGE(""https://docs.google.com/spreadsheets/d/1DY4XTNNwjluuxqdfdn6qvOSlMRrZqUtmYcZR0ttFiG4/edit?usp=sharing"",""ลำปาง!N67"")+IMPORTRANGE(""https://docs.google.com/spreads"&amp;"heets/d/1ICwG78r0OFT8biBlxnBF8r7she7gNSzOvJ958PWT09c/edit?usp=sharing"",""ลำพูน!N67"")+IMPORTRANGE(""https://docs.google.com/spreadsheets/d/1B0f2xJpZUC6Z0xXnqKlZtEPzsf6L84eP1r1Q15seqRM/edit?usp=sharing"",""สุโขทัย!N67"")+IMPORTRANGE(""https://docs.google."&amp;"com/spreadsheets/d/1v0b9pFQCsKUVExMei7AgY2yQkdeNQvtOssygGsXbiKo/edit?usp=sharing"",""อุตรดิตถ์!N67"")+IMPORTRANGE(""https://docs.google.com/spreadsheets/d/1UsNK1e-WWiCo2PvGqdNfdme4m17_Ezd3J69EeeiQPD0/edit?usp=sharing"",""อุทัยธานี!N67"")"),0)</f>
        <v>0</v>
      </c>
      <c r="O67" s="139">
        <f t="shared" ca="1" si="26"/>
        <v>0</v>
      </c>
      <c r="P67" s="139">
        <f t="shared" ca="1" si="27"/>
        <v>0</v>
      </c>
    </row>
    <row r="68" spans="1:16" ht="19.5" x14ac:dyDescent="0.3">
      <c r="A68" s="140" t="s">
        <v>29</v>
      </c>
      <c r="B68" s="141"/>
      <c r="C68" s="141"/>
      <c r="D68" s="141"/>
      <c r="E68" s="142"/>
      <c r="F68" s="142"/>
      <c r="G68" s="142"/>
      <c r="H68" s="142"/>
      <c r="I68" s="143"/>
      <c r="J68" s="143"/>
      <c r="K68" s="144"/>
      <c r="L68" s="144"/>
      <c r="M68" s="144"/>
      <c r="N68" s="144"/>
      <c r="O68" s="144"/>
      <c r="P68" s="145"/>
    </row>
    <row r="69" spans="1:16" ht="19.5" x14ac:dyDescent="0.3">
      <c r="A69" s="146" t="s">
        <v>30</v>
      </c>
      <c r="B69" s="147"/>
      <c r="C69" s="148"/>
      <c r="D69" s="147"/>
      <c r="E69" s="147"/>
      <c r="F69" s="147"/>
      <c r="G69" s="149"/>
      <c r="H69" s="149"/>
      <c r="I69" s="150"/>
      <c r="J69" s="150"/>
      <c r="K69" s="151"/>
      <c r="L69" s="151"/>
      <c r="M69" s="151"/>
      <c r="N69" s="151"/>
      <c r="O69" s="151"/>
      <c r="P69" s="151"/>
    </row>
    <row r="70" spans="1:16" ht="19.5" x14ac:dyDescent="0.3">
      <c r="A70" s="152"/>
      <c r="B70" s="153" t="s">
        <v>31</v>
      </c>
      <c r="C70" s="41"/>
      <c r="D70" s="154"/>
      <c r="E70" s="41"/>
      <c r="F70" s="41"/>
      <c r="G70" s="44"/>
      <c r="H70" s="155" t="s">
        <v>32</v>
      </c>
      <c r="I70" s="156">
        <f t="shared" ref="I70:J70" ca="1" si="32">I82</f>
        <v>4</v>
      </c>
      <c r="J70" s="156">
        <f t="shared" ca="1" si="32"/>
        <v>1</v>
      </c>
      <c r="K70" s="48">
        <f t="shared" ref="K70:K71" ca="1" si="33">IF(I70&gt;0,J70*100/I70,0)</f>
        <v>25</v>
      </c>
      <c r="L70" s="47"/>
      <c r="M70" s="47"/>
      <c r="N70" s="47"/>
      <c r="O70" s="47"/>
      <c r="P70" s="47"/>
    </row>
    <row r="71" spans="1:16" ht="19.5" x14ac:dyDescent="0.3">
      <c r="A71" s="152"/>
      <c r="B71" s="41"/>
      <c r="C71" s="41"/>
      <c r="D71" s="154"/>
      <c r="E71" s="41"/>
      <c r="F71" s="41"/>
      <c r="G71" s="44"/>
      <c r="H71" s="155" t="s">
        <v>33</v>
      </c>
      <c r="I71" s="156">
        <f t="shared" ref="I71:J71" ca="1" si="34">I83</f>
        <v>157</v>
      </c>
      <c r="J71" s="156">
        <f t="shared" ca="1" si="34"/>
        <v>30</v>
      </c>
      <c r="K71" s="48">
        <f t="shared" ca="1" si="33"/>
        <v>19.108280254777071</v>
      </c>
      <c r="L71" s="47"/>
      <c r="M71" s="47"/>
      <c r="N71" s="47"/>
      <c r="O71" s="47"/>
      <c r="P71" s="47"/>
    </row>
    <row r="72" spans="1:16" ht="19.5" x14ac:dyDescent="0.3">
      <c r="A72" s="157"/>
      <c r="B72" s="53"/>
      <c r="C72" s="158" t="s">
        <v>16</v>
      </c>
      <c r="D72" s="159" t="s">
        <v>17</v>
      </c>
      <c r="E72" s="53"/>
      <c r="F72" s="53"/>
      <c r="G72" s="55"/>
      <c r="H72" s="160" t="s">
        <v>12</v>
      </c>
      <c r="I72" s="57"/>
      <c r="J72" s="57"/>
      <c r="K72" s="58"/>
      <c r="L72" s="161">
        <f t="shared" ref="L72:N72" ca="1" si="35">L73+L74</f>
        <v>2308600</v>
      </c>
      <c r="M72" s="161">
        <f t="shared" ca="1" si="35"/>
        <v>2031100</v>
      </c>
      <c r="N72" s="161">
        <f t="shared" ca="1" si="35"/>
        <v>490553.77999999898</v>
      </c>
      <c r="O72" s="161">
        <f t="shared" ref="O72:O80" ca="1" si="36">IF(L72&gt;0,N72*100/L72,0)</f>
        <v>21.24897253746855</v>
      </c>
      <c r="P72" s="161">
        <f t="shared" ref="P72:P80" ca="1" si="37">IF(M72&gt;0,N72*100/M72,0)</f>
        <v>24.152123479887695</v>
      </c>
    </row>
    <row r="73" spans="1:16" ht="18.75" x14ac:dyDescent="0.25">
      <c r="A73" s="157"/>
      <c r="B73" s="53"/>
      <c r="C73" s="53"/>
      <c r="D73" s="53"/>
      <c r="E73" s="60" t="s">
        <v>18</v>
      </c>
      <c r="F73" s="53"/>
      <c r="G73" s="55"/>
      <c r="H73" s="162" t="s">
        <v>12</v>
      </c>
      <c r="I73" s="57"/>
      <c r="J73" s="57"/>
      <c r="K73" s="58"/>
      <c r="L73" s="59">
        <f t="shared" ref="L73:N73" ca="1" si="38">L76+L79</f>
        <v>0</v>
      </c>
      <c r="M73" s="59">
        <f t="shared" ca="1" si="38"/>
        <v>0</v>
      </c>
      <c r="N73" s="59">
        <f t="shared" ca="1" si="38"/>
        <v>0</v>
      </c>
      <c r="O73" s="59">
        <f t="shared" ca="1" si="36"/>
        <v>0</v>
      </c>
      <c r="P73" s="59">
        <f t="shared" ca="1" si="37"/>
        <v>0</v>
      </c>
    </row>
    <row r="74" spans="1:16" ht="18.75" x14ac:dyDescent="0.25">
      <c r="A74" s="157"/>
      <c r="B74" s="53"/>
      <c r="C74" s="53"/>
      <c r="D74" s="53"/>
      <c r="E74" s="60" t="s">
        <v>19</v>
      </c>
      <c r="F74" s="53"/>
      <c r="G74" s="55"/>
      <c r="H74" s="162" t="s">
        <v>12</v>
      </c>
      <c r="I74" s="57"/>
      <c r="J74" s="57"/>
      <c r="K74" s="58"/>
      <c r="L74" s="59">
        <f t="shared" ref="L74:N74" ca="1" si="39">L77+L80</f>
        <v>2308600</v>
      </c>
      <c r="M74" s="59">
        <f t="shared" ca="1" si="39"/>
        <v>2031100</v>
      </c>
      <c r="N74" s="59">
        <f t="shared" ca="1" si="39"/>
        <v>490553.77999999898</v>
      </c>
      <c r="O74" s="59">
        <f t="shared" ca="1" si="36"/>
        <v>21.24897253746855</v>
      </c>
      <c r="P74" s="59">
        <f t="shared" ca="1" si="37"/>
        <v>24.152123479887695</v>
      </c>
    </row>
    <row r="75" spans="1:16" ht="18.75" x14ac:dyDescent="0.25">
      <c r="A75" s="157"/>
      <c r="B75" s="53"/>
      <c r="C75" s="53"/>
      <c r="D75" s="54" t="s">
        <v>20</v>
      </c>
      <c r="E75" s="53"/>
      <c r="F75" s="53"/>
      <c r="G75" s="55"/>
      <c r="H75" s="163" t="s">
        <v>12</v>
      </c>
      <c r="I75" s="164"/>
      <c r="J75" s="164"/>
      <c r="K75" s="165"/>
      <c r="L75" s="59">
        <f t="shared" ref="L75:N75" ca="1" si="40">L76+L77</f>
        <v>2308600</v>
      </c>
      <c r="M75" s="59">
        <f t="shared" ca="1" si="40"/>
        <v>2031100</v>
      </c>
      <c r="N75" s="59">
        <f t="shared" ca="1" si="40"/>
        <v>490553.77999999898</v>
      </c>
      <c r="O75" s="59">
        <f t="shared" ca="1" si="36"/>
        <v>21.24897253746855</v>
      </c>
      <c r="P75" s="59">
        <f t="shared" ca="1" si="37"/>
        <v>24.152123479887695</v>
      </c>
    </row>
    <row r="76" spans="1:16" ht="18.75" x14ac:dyDescent="0.25">
      <c r="A76" s="157"/>
      <c r="B76" s="53"/>
      <c r="C76" s="53"/>
      <c r="D76" s="53"/>
      <c r="E76" s="60" t="s">
        <v>34</v>
      </c>
      <c r="F76" s="53"/>
      <c r="G76" s="55"/>
      <c r="H76" s="163" t="s">
        <v>12</v>
      </c>
      <c r="I76" s="164"/>
      <c r="J76" s="164"/>
      <c r="K76" s="165"/>
      <c r="L76" s="59">
        <f ca="1">IFERROR(__xludf.DUMMYFUNCTION("IMPORTRANGE(""https://docs.google.com/spreadsheets/d/1jTcq05yEiRwXcBMLjiodW9e4biSGYWAHcDj22rKWQ3s/edit?usp=sharing"",""กำแพงเพชร!L76"")+IMPORTRANGE(""https://docs.google.com/spreadsheets/d/1KS0zmDSZPk8KnTAbGN-Xk6MtX1YRZD0ldgdt20K4CRk/edit?usp=sharing"","""&amp;"เชียงราย!L76"")+IMPORTRANGE(""https://docs.google.com/spreadsheets/d/1rEDxBtusbi64tE0zunoIbsTVV16HeL0oJ6trHQeQ7K8/edit?usp=sharing"",""เชียงใหม่!L76"")+IMPORTRANGE(""https://docs.google.com/spreadsheets/d/1W6MnUbDkMi6xHnHko_XkFDO9kkuL6Wqyc-6OCDFjW9I/edit?"&amp;"usp=sharing"",""ตาก!L76"")+IMPORTRANGE(""https://docs.google.com/spreadsheets/d/1IQAWArduLkta9LpYo4a_ULsyqdta6-6aDDiwpUnQT6c/edit?usp=sharing"",""นครสวรรค์!L76"")+IMPORTRANGE(""https://docs.google.com/spreadsheets/d/10s13Sk5xrltsiR-Zkbmk5DwIaDIKO8XlbJAfqy"&amp;"T7Gvg/edit?usp=sharing"",""น่าน!L76"")+IMPORTRANGE(""https://docs.google.com/spreadsheets/d/1uu4nAn4Dbi1XREnLKKotUANlKXa7yCgRcgq8HEzQYW8/edit?usp=sharing"",""พะเยา!L76"")+IMPORTRANGE(""https://docs.google.com/spreadsheets/d/1xfJKIQxVOaPDIICqsflNlLu3JacTDk"&amp;"1FP9RH4phX7mI/edit?usp=sharing"",""พิจิตร!L76"")+IMPORTRANGE(""https://docs.google.com/spreadsheets/d/1JtRfZkJMHtEhI5RdRHxYUG4FIZHqKDpNyIuN7A1Q0_k/edit?usp=sharing"",""พิษณุโลก!L76"")+IMPORTRANGE(""https://docs.google.com/spreadsheets/d/1xlcVZWUNn6SuWm0c3"&amp;"07h32SiGkd9BaeQWlAktfD3KO8/edit?usp=sharing"",""เพชรบูรณ์!L76"")+IMPORTRANGE(""https://docs.google.com/spreadsheets/d/1lOVebEIsI9qjGXl6EX66luk7wiuP2tBaryw-wKvv4e0/edit?usp=sharing"",""แพร่!L76"")+IMPORTRANGE(""https://docs.google.com/spreadsheets/d/1dQrvX"&amp;"0vEcN7Gu0fnZ0B5S90AeR19zth4XlExFBeExMY/edit?usp=sharing"",""แม่ฮ่องสอน!L76"")+IMPORTRANGE(""https://docs.google.com/spreadsheets/d/1DY4XTNNwjluuxqdfdn6qvOSlMRrZqUtmYcZR0ttFiG4/edit?usp=sharing"",""ลำปาง!L76"")+IMPORTRANGE(""https://docs.google.com/spreads"&amp;"heets/d/1ICwG78r0OFT8biBlxnBF8r7she7gNSzOvJ958PWT09c/edit?usp=sharing"",""ลำพูน!L76"")+IMPORTRANGE(""https://docs.google.com/spreadsheets/d/1B0f2xJpZUC6Z0xXnqKlZtEPzsf6L84eP1r1Q15seqRM/edit?usp=sharing"",""สุโขทัย!L76"")+IMPORTRANGE(""https://docs.google."&amp;"com/spreadsheets/d/1v0b9pFQCsKUVExMei7AgY2yQkdeNQvtOssygGsXbiKo/edit?usp=sharing"",""อุตรดิตถ์!L76"")+IMPORTRANGE(""https://docs.google.com/spreadsheets/d/1UsNK1e-WWiCo2PvGqdNfdme4m17_Ezd3J69EeeiQPD0/edit?usp=sharing"",""อุทัยธานี!L76"")"),0)</f>
        <v>0</v>
      </c>
      <c r="M76" s="59">
        <f ca="1">IFERROR(__xludf.DUMMYFUNCTION("IMPORTRANGE(""https://docs.google.com/spreadsheets/d/1jTcq05yEiRwXcBMLjiodW9e4biSGYWAHcDj22rKWQ3s/edit?usp=sharing"",""กำแพงเพชร!M76"")+IMPORTRANGE(""https://docs.google.com/spreadsheets/d/1KS0zmDSZPk8KnTAbGN-Xk6MtX1YRZD0ldgdt20K4CRk/edit?usp=sharing"","""&amp;"เชียงราย!M76"")+IMPORTRANGE(""https://docs.google.com/spreadsheets/d/1rEDxBtusbi64tE0zunoIbsTVV16HeL0oJ6trHQeQ7K8/edit?usp=sharing"",""เชียงใหม่!M76"")+IMPORTRANGE(""https://docs.google.com/spreadsheets/d/1W6MnUbDkMi6xHnHko_XkFDO9kkuL6Wqyc-6OCDFjW9I/edit?"&amp;"usp=sharing"",""ตาก!M76"")+IMPORTRANGE(""https://docs.google.com/spreadsheets/d/1IQAWArduLkta9LpYo4a_ULsyqdta6-6aDDiwpUnQT6c/edit?usp=sharing"",""นครสวรรค์!M76"")+IMPORTRANGE(""https://docs.google.com/spreadsheets/d/10s13Sk5xrltsiR-Zkbmk5DwIaDIKO8XlbJAfqy"&amp;"T7Gvg/edit?usp=sharing"",""น่าน!M76"")+IMPORTRANGE(""https://docs.google.com/spreadsheets/d/1uu4nAn4Dbi1XREnLKKotUANlKXa7yCgRcgq8HEzQYW8/edit?usp=sharing"",""พะเยา!M76"")+IMPORTRANGE(""https://docs.google.com/spreadsheets/d/1xfJKIQxVOaPDIICqsflNlLu3JacTDk"&amp;"1FP9RH4phX7mI/edit?usp=sharing"",""พิจิตร!M76"")+IMPORTRANGE(""https://docs.google.com/spreadsheets/d/1JtRfZkJMHtEhI5RdRHxYUG4FIZHqKDpNyIuN7A1Q0_k/edit?usp=sharing"",""พิษณุโลก!M76"")+IMPORTRANGE(""https://docs.google.com/spreadsheets/d/1xlcVZWUNn6SuWm0c3"&amp;"07h32SiGkd9BaeQWlAktfD3KO8/edit?usp=sharing"",""เพชรบูรณ์!M76"")+IMPORTRANGE(""https://docs.google.com/spreadsheets/d/1lOVebEIsI9qjGXl6EX66luk7wiuP2tBaryw-wKvv4e0/edit?usp=sharing"",""แพร่!M76"")+IMPORTRANGE(""https://docs.google.com/spreadsheets/d/1dQrvX"&amp;"0vEcN7Gu0fnZ0B5S90AeR19zth4XlExFBeExMY/edit?usp=sharing"",""แม่ฮ่องสอน!M76"")+IMPORTRANGE(""https://docs.google.com/spreadsheets/d/1DY4XTNNwjluuxqdfdn6qvOSlMRrZqUtmYcZR0ttFiG4/edit?usp=sharing"",""ลำปาง!M76"")+IMPORTRANGE(""https://docs.google.com/spreads"&amp;"heets/d/1ICwG78r0OFT8biBlxnBF8r7she7gNSzOvJ958PWT09c/edit?usp=sharing"",""ลำพูน!M76"")+IMPORTRANGE(""https://docs.google.com/spreadsheets/d/1B0f2xJpZUC6Z0xXnqKlZtEPzsf6L84eP1r1Q15seqRM/edit?usp=sharing"",""สุโขทัย!M76"")+IMPORTRANGE(""https://docs.google."&amp;"com/spreadsheets/d/1v0b9pFQCsKUVExMei7AgY2yQkdeNQvtOssygGsXbiKo/edit?usp=sharing"",""อุตรดิตถ์!M76"")+IMPORTRANGE(""https://docs.google.com/spreadsheets/d/1UsNK1e-WWiCo2PvGqdNfdme4m17_Ezd3J69EeeiQPD0/edit?usp=sharing"",""อุทัยธานี!M76"")"),0)</f>
        <v>0</v>
      </c>
      <c r="N76" s="59">
        <f ca="1">IFERROR(__xludf.DUMMYFUNCTION("IMPORTRANGE(""https://docs.google.com/spreadsheets/d/1jTcq05yEiRwXcBMLjiodW9e4biSGYWAHcDj22rKWQ3s/edit?usp=sharing"",""กำแพงเพชร!N76"")+IMPORTRANGE(""https://docs.google.com/spreadsheets/d/1KS0zmDSZPk8KnTAbGN-Xk6MtX1YRZD0ldgdt20K4CRk/edit?usp=sharing"","""&amp;"เชียงราย!N76"")+IMPORTRANGE(""https://docs.google.com/spreadsheets/d/1rEDxBtusbi64tE0zunoIbsTVV16HeL0oJ6trHQeQ7K8/edit?usp=sharing"",""เชียงใหม่!N76"")+IMPORTRANGE(""https://docs.google.com/spreadsheets/d/1W6MnUbDkMi6xHnHko_XkFDO9kkuL6Wqyc-6OCDFjW9I/edit?"&amp;"usp=sharing"",""ตาก!N76"")+IMPORTRANGE(""https://docs.google.com/spreadsheets/d/1IQAWArduLkta9LpYo4a_ULsyqdta6-6aDDiwpUnQT6c/edit?usp=sharing"",""นครสวรรค์!N76"")+IMPORTRANGE(""https://docs.google.com/spreadsheets/d/10s13Sk5xrltsiR-Zkbmk5DwIaDIKO8XlbJAfqy"&amp;"T7Gvg/edit?usp=sharing"",""น่าน!N76"")+IMPORTRANGE(""https://docs.google.com/spreadsheets/d/1uu4nAn4Dbi1XREnLKKotUANlKXa7yCgRcgq8HEzQYW8/edit?usp=sharing"",""พะเยา!N76"")+IMPORTRANGE(""https://docs.google.com/spreadsheets/d/1xfJKIQxVOaPDIICqsflNlLu3JacTDk"&amp;"1FP9RH4phX7mI/edit?usp=sharing"",""พิจิตร!N76"")+IMPORTRANGE(""https://docs.google.com/spreadsheets/d/1JtRfZkJMHtEhI5RdRHxYUG4FIZHqKDpNyIuN7A1Q0_k/edit?usp=sharing"",""พิษณุโลก!N76"")+IMPORTRANGE(""https://docs.google.com/spreadsheets/d/1xlcVZWUNn6SuWm0c3"&amp;"07h32SiGkd9BaeQWlAktfD3KO8/edit?usp=sharing"",""เพชรบูรณ์!N76"")+IMPORTRANGE(""https://docs.google.com/spreadsheets/d/1lOVebEIsI9qjGXl6EX66luk7wiuP2tBaryw-wKvv4e0/edit?usp=sharing"",""แพร่!N76"")+IMPORTRANGE(""https://docs.google.com/spreadsheets/d/1dQrvX"&amp;"0vEcN7Gu0fnZ0B5S90AeR19zth4XlExFBeExMY/edit?usp=sharing"",""แม่ฮ่องสอน!N76"")+IMPORTRANGE(""https://docs.google.com/spreadsheets/d/1DY4XTNNwjluuxqdfdn6qvOSlMRrZqUtmYcZR0ttFiG4/edit?usp=sharing"",""ลำปาง!N76"")+IMPORTRANGE(""https://docs.google.com/spreads"&amp;"heets/d/1ICwG78r0OFT8biBlxnBF8r7she7gNSzOvJ958PWT09c/edit?usp=sharing"",""ลำพูน!N76"")+IMPORTRANGE(""https://docs.google.com/spreadsheets/d/1B0f2xJpZUC6Z0xXnqKlZtEPzsf6L84eP1r1Q15seqRM/edit?usp=sharing"",""สุโขทัย!N76"")+IMPORTRANGE(""https://docs.google."&amp;"com/spreadsheets/d/1v0b9pFQCsKUVExMei7AgY2yQkdeNQvtOssygGsXbiKo/edit?usp=sharing"",""อุตรดิตถ์!N76"")+IMPORTRANGE(""https://docs.google.com/spreadsheets/d/1UsNK1e-WWiCo2PvGqdNfdme4m17_Ezd3J69EeeiQPD0/edit?usp=sharing"",""อุทัยธานี!N76"")"),0)</f>
        <v>0</v>
      </c>
      <c r="O76" s="59">
        <f t="shared" ca="1" si="36"/>
        <v>0</v>
      </c>
      <c r="P76" s="59">
        <f t="shared" ca="1" si="37"/>
        <v>0</v>
      </c>
    </row>
    <row r="77" spans="1:16" ht="18.75" x14ac:dyDescent="0.25">
      <c r="A77" s="157"/>
      <c r="B77" s="53"/>
      <c r="C77" s="53"/>
      <c r="D77" s="53"/>
      <c r="E77" s="60" t="s">
        <v>35</v>
      </c>
      <c r="F77" s="53"/>
      <c r="G77" s="55"/>
      <c r="H77" s="163" t="s">
        <v>12</v>
      </c>
      <c r="I77" s="164"/>
      <c r="J77" s="164"/>
      <c r="K77" s="165"/>
      <c r="L77" s="59">
        <f ca="1">IFERROR(__xludf.DUMMYFUNCTION("IMPORTRANGE(""https://docs.google.com/spreadsheets/d/1jTcq05yEiRwXcBMLjiodW9e4biSGYWAHcDj22rKWQ3s/edit?usp=sharing"",""กำแพงเพชร!L77"")+IMPORTRANGE(""https://docs.google.com/spreadsheets/d/1KS0zmDSZPk8KnTAbGN-Xk6MtX1YRZD0ldgdt20K4CRk/edit?usp=sharing"","""&amp;"เชียงราย!L77"")+IMPORTRANGE(""https://docs.google.com/spreadsheets/d/1rEDxBtusbi64tE0zunoIbsTVV16HeL0oJ6trHQeQ7K8/edit?usp=sharing"",""เชียงใหม่!L77"")+IMPORTRANGE(""https://docs.google.com/spreadsheets/d/1W6MnUbDkMi6xHnHko_XkFDO9kkuL6Wqyc-6OCDFjW9I/edit?"&amp;"usp=sharing"",""ตาก!L77"")+IMPORTRANGE(""https://docs.google.com/spreadsheets/d/1IQAWArduLkta9LpYo4a_ULsyqdta6-6aDDiwpUnQT6c/edit?usp=sharing"",""นครสวรรค์!L77"")+IMPORTRANGE(""https://docs.google.com/spreadsheets/d/10s13Sk5xrltsiR-Zkbmk5DwIaDIKO8XlbJAfqy"&amp;"T7Gvg/edit?usp=sharing"",""น่าน!L77"")+IMPORTRANGE(""https://docs.google.com/spreadsheets/d/1uu4nAn4Dbi1XREnLKKotUANlKXa7yCgRcgq8HEzQYW8/edit?usp=sharing"",""พะเยา!L77"")+IMPORTRANGE(""https://docs.google.com/spreadsheets/d/1xfJKIQxVOaPDIICqsflNlLu3JacTDk"&amp;"1FP9RH4phX7mI/edit?usp=sharing"",""พิจิตร!L77"")+IMPORTRANGE(""https://docs.google.com/spreadsheets/d/1JtRfZkJMHtEhI5RdRHxYUG4FIZHqKDpNyIuN7A1Q0_k/edit?usp=sharing"",""พิษณุโลก!L77"")+IMPORTRANGE(""https://docs.google.com/spreadsheets/d/1xlcVZWUNn6SuWm0c3"&amp;"07h32SiGkd9BaeQWlAktfD3KO8/edit?usp=sharing"",""เพชรบูรณ์!L77"")+IMPORTRANGE(""https://docs.google.com/spreadsheets/d/1lOVebEIsI9qjGXl6EX66luk7wiuP2tBaryw-wKvv4e0/edit?usp=sharing"",""แพร่!L77"")+IMPORTRANGE(""https://docs.google.com/spreadsheets/d/1dQrvX"&amp;"0vEcN7Gu0fnZ0B5S90AeR19zth4XlExFBeExMY/edit?usp=sharing"",""แม่ฮ่องสอน!L77"")+IMPORTRANGE(""https://docs.google.com/spreadsheets/d/1DY4XTNNwjluuxqdfdn6qvOSlMRrZqUtmYcZR0ttFiG4/edit?usp=sharing"",""ลำปาง!L77"")+IMPORTRANGE(""https://docs.google.com/spreads"&amp;"heets/d/1ICwG78r0OFT8biBlxnBF8r7she7gNSzOvJ958PWT09c/edit?usp=sharing"",""ลำพูน!L77"")+IMPORTRANGE(""https://docs.google.com/spreadsheets/d/1B0f2xJpZUC6Z0xXnqKlZtEPzsf6L84eP1r1Q15seqRM/edit?usp=sharing"",""สุโขทัย!L77"")+IMPORTRANGE(""https://docs.google."&amp;"com/spreadsheets/d/1v0b9pFQCsKUVExMei7AgY2yQkdeNQvtOssygGsXbiKo/edit?usp=sharing"",""อุตรดิตถ์!L77"")+IMPORTRANGE(""https://docs.google.com/spreadsheets/d/1UsNK1e-WWiCo2PvGqdNfdme4m17_Ezd3J69EeeiQPD0/edit?usp=sharing"",""อุทัยธานี!L77"")"),2308600)</f>
        <v>2308600</v>
      </c>
      <c r="M77" s="59">
        <f ca="1">IFERROR(__xludf.DUMMYFUNCTION("IMPORTRANGE(""https://docs.google.com/spreadsheets/d/1jTcq05yEiRwXcBMLjiodW9e4biSGYWAHcDj22rKWQ3s/edit?usp=sharing"",""กำแพงเพชร!M77"")+IMPORTRANGE(""https://docs.google.com/spreadsheets/d/1KS0zmDSZPk8KnTAbGN-Xk6MtX1YRZD0ldgdt20K4CRk/edit?usp=sharing"","""&amp;"เชียงราย!M77"")+IMPORTRANGE(""https://docs.google.com/spreadsheets/d/1rEDxBtusbi64tE0zunoIbsTVV16HeL0oJ6trHQeQ7K8/edit?usp=sharing"",""เชียงใหม่!M77"")+IMPORTRANGE(""https://docs.google.com/spreadsheets/d/1W6MnUbDkMi6xHnHko_XkFDO9kkuL6Wqyc-6OCDFjW9I/edit?"&amp;"usp=sharing"",""ตาก!M77"")+IMPORTRANGE(""https://docs.google.com/spreadsheets/d/1IQAWArduLkta9LpYo4a_ULsyqdta6-6aDDiwpUnQT6c/edit?usp=sharing"",""นครสวรรค์!M77"")+IMPORTRANGE(""https://docs.google.com/spreadsheets/d/10s13Sk5xrltsiR-Zkbmk5DwIaDIKO8XlbJAfqy"&amp;"T7Gvg/edit?usp=sharing"",""น่าน!M77"")+IMPORTRANGE(""https://docs.google.com/spreadsheets/d/1uu4nAn4Dbi1XREnLKKotUANlKXa7yCgRcgq8HEzQYW8/edit?usp=sharing"",""พะเยา!M77"")+IMPORTRANGE(""https://docs.google.com/spreadsheets/d/1xfJKIQxVOaPDIICqsflNlLu3JacTDk"&amp;"1FP9RH4phX7mI/edit?usp=sharing"",""พิจิตร!M77"")+IMPORTRANGE(""https://docs.google.com/spreadsheets/d/1JtRfZkJMHtEhI5RdRHxYUG4FIZHqKDpNyIuN7A1Q0_k/edit?usp=sharing"",""พิษณุโลก!M77"")+IMPORTRANGE(""https://docs.google.com/spreadsheets/d/1xlcVZWUNn6SuWm0c3"&amp;"07h32SiGkd9BaeQWlAktfD3KO8/edit?usp=sharing"",""เพชรบูรณ์!M77"")+IMPORTRANGE(""https://docs.google.com/spreadsheets/d/1lOVebEIsI9qjGXl6EX66luk7wiuP2tBaryw-wKvv4e0/edit?usp=sharing"",""แพร่!M77"")+IMPORTRANGE(""https://docs.google.com/spreadsheets/d/1dQrvX"&amp;"0vEcN7Gu0fnZ0B5S90AeR19zth4XlExFBeExMY/edit?usp=sharing"",""แม่ฮ่องสอน!M77"")+IMPORTRANGE(""https://docs.google.com/spreadsheets/d/1DY4XTNNwjluuxqdfdn6qvOSlMRrZqUtmYcZR0ttFiG4/edit?usp=sharing"",""ลำปาง!M77"")+IMPORTRANGE(""https://docs.google.com/spreads"&amp;"heets/d/1ICwG78r0OFT8biBlxnBF8r7she7gNSzOvJ958PWT09c/edit?usp=sharing"",""ลำพูน!M77"")+IMPORTRANGE(""https://docs.google.com/spreadsheets/d/1B0f2xJpZUC6Z0xXnqKlZtEPzsf6L84eP1r1Q15seqRM/edit?usp=sharing"",""สุโขทัย!M77"")+IMPORTRANGE(""https://docs.google."&amp;"com/spreadsheets/d/1v0b9pFQCsKUVExMei7AgY2yQkdeNQvtOssygGsXbiKo/edit?usp=sharing"",""อุตรดิตถ์!M77"")+IMPORTRANGE(""https://docs.google.com/spreadsheets/d/1UsNK1e-WWiCo2PvGqdNfdme4m17_Ezd3J69EeeiQPD0/edit?usp=sharing"",""อุทัยธานี!M77"")"),2031100)</f>
        <v>2031100</v>
      </c>
      <c r="N77" s="59">
        <f ca="1">IFERROR(__xludf.DUMMYFUNCTION("IMPORTRANGE(""https://docs.google.com/spreadsheets/d/1jTcq05yEiRwXcBMLjiodW9e4biSGYWAHcDj22rKWQ3s/edit?usp=sharing"",""กำแพงเพชร!N77"")+IMPORTRANGE(""https://docs.google.com/spreadsheets/d/1KS0zmDSZPk8KnTAbGN-Xk6MtX1YRZD0ldgdt20K4CRk/edit?usp=sharing"","""&amp;"เชียงราย!N77"")+IMPORTRANGE(""https://docs.google.com/spreadsheets/d/1rEDxBtusbi64tE0zunoIbsTVV16HeL0oJ6trHQeQ7K8/edit?usp=sharing"",""เชียงใหม่!N77"")+IMPORTRANGE(""https://docs.google.com/spreadsheets/d/1W6MnUbDkMi6xHnHko_XkFDO9kkuL6Wqyc-6OCDFjW9I/edit?"&amp;"usp=sharing"",""ตาก!N77"")+IMPORTRANGE(""https://docs.google.com/spreadsheets/d/1IQAWArduLkta9LpYo4a_ULsyqdta6-6aDDiwpUnQT6c/edit?usp=sharing"",""นครสวรรค์!N77"")+IMPORTRANGE(""https://docs.google.com/spreadsheets/d/10s13Sk5xrltsiR-Zkbmk5DwIaDIKO8XlbJAfqy"&amp;"T7Gvg/edit?usp=sharing"",""น่าน!N77"")+IMPORTRANGE(""https://docs.google.com/spreadsheets/d/1uu4nAn4Dbi1XREnLKKotUANlKXa7yCgRcgq8HEzQYW8/edit?usp=sharing"",""พะเยา!N77"")+IMPORTRANGE(""https://docs.google.com/spreadsheets/d/1xfJKIQxVOaPDIICqsflNlLu3JacTDk"&amp;"1FP9RH4phX7mI/edit?usp=sharing"",""พิจิตร!N77"")+IMPORTRANGE(""https://docs.google.com/spreadsheets/d/1JtRfZkJMHtEhI5RdRHxYUG4FIZHqKDpNyIuN7A1Q0_k/edit?usp=sharing"",""พิษณุโลก!N77"")+IMPORTRANGE(""https://docs.google.com/spreadsheets/d/1xlcVZWUNn6SuWm0c3"&amp;"07h32SiGkd9BaeQWlAktfD3KO8/edit?usp=sharing"",""เพชรบูรณ์!N77"")+IMPORTRANGE(""https://docs.google.com/spreadsheets/d/1lOVebEIsI9qjGXl6EX66luk7wiuP2tBaryw-wKvv4e0/edit?usp=sharing"",""แพร่!N77"")+IMPORTRANGE(""https://docs.google.com/spreadsheets/d/1dQrvX"&amp;"0vEcN7Gu0fnZ0B5S90AeR19zth4XlExFBeExMY/edit?usp=sharing"",""แม่ฮ่องสอน!N77"")+IMPORTRANGE(""https://docs.google.com/spreadsheets/d/1DY4XTNNwjluuxqdfdn6qvOSlMRrZqUtmYcZR0ttFiG4/edit?usp=sharing"",""ลำปาง!N77"")+IMPORTRANGE(""https://docs.google.com/spreads"&amp;"heets/d/1ICwG78r0OFT8biBlxnBF8r7she7gNSzOvJ958PWT09c/edit?usp=sharing"",""ลำพูน!N77"")+IMPORTRANGE(""https://docs.google.com/spreadsheets/d/1B0f2xJpZUC6Z0xXnqKlZtEPzsf6L84eP1r1Q15seqRM/edit?usp=sharing"",""สุโขทัย!N77"")+IMPORTRANGE(""https://docs.google."&amp;"com/spreadsheets/d/1v0b9pFQCsKUVExMei7AgY2yQkdeNQvtOssygGsXbiKo/edit?usp=sharing"",""อุตรดิตถ์!N77"")+IMPORTRANGE(""https://docs.google.com/spreadsheets/d/1UsNK1e-WWiCo2PvGqdNfdme4m17_Ezd3J69EeeiQPD0/edit?usp=sharing"",""อุทัยธานี!N77"")"),490553.779999999)</f>
        <v>490553.77999999898</v>
      </c>
      <c r="O77" s="59">
        <f t="shared" ca="1" si="36"/>
        <v>21.24897253746855</v>
      </c>
      <c r="P77" s="59">
        <f t="shared" ca="1" si="37"/>
        <v>24.152123479887695</v>
      </c>
    </row>
    <row r="78" spans="1:16" ht="18.75" x14ac:dyDescent="0.25">
      <c r="A78" s="157"/>
      <c r="B78" s="53"/>
      <c r="C78" s="53"/>
      <c r="D78" s="54" t="s">
        <v>21</v>
      </c>
      <c r="E78" s="53"/>
      <c r="F78" s="53"/>
      <c r="G78" s="55"/>
      <c r="H78" s="166" t="s">
        <v>12</v>
      </c>
      <c r="I78" s="164"/>
      <c r="J78" s="164"/>
      <c r="K78" s="165"/>
      <c r="L78" s="59">
        <f t="shared" ref="L78:N78" ca="1" si="41">L79+L80</f>
        <v>0</v>
      </c>
      <c r="M78" s="59">
        <f t="shared" ca="1" si="41"/>
        <v>0</v>
      </c>
      <c r="N78" s="59">
        <f t="shared" ca="1" si="41"/>
        <v>0</v>
      </c>
      <c r="O78" s="59">
        <f t="shared" ca="1" si="36"/>
        <v>0</v>
      </c>
      <c r="P78" s="59">
        <f t="shared" ca="1" si="37"/>
        <v>0</v>
      </c>
    </row>
    <row r="79" spans="1:16" ht="18.75" x14ac:dyDescent="0.25">
      <c r="A79" s="157"/>
      <c r="B79" s="53"/>
      <c r="C79" s="53"/>
      <c r="D79" s="53"/>
      <c r="E79" s="60" t="s">
        <v>18</v>
      </c>
      <c r="F79" s="53"/>
      <c r="G79" s="55"/>
      <c r="H79" s="163" t="s">
        <v>12</v>
      </c>
      <c r="I79" s="164"/>
      <c r="J79" s="164"/>
      <c r="K79" s="165"/>
      <c r="L79" s="59">
        <f ca="1">IFERROR(__xludf.DUMMYFUNCTION("IMPORTRANGE(""https://docs.google.com/spreadsheets/d/1jTcq05yEiRwXcBMLjiodW9e4biSGYWAHcDj22rKWQ3s/edit?usp=sharing"",""กำแพงเพชร!L79"")+IMPORTRANGE(""https://docs.google.com/spreadsheets/d/1KS0zmDSZPk8KnTAbGN-Xk6MtX1YRZD0ldgdt20K4CRk/edit?usp=sharing"","""&amp;"เชียงราย!L79"")+IMPORTRANGE(""https://docs.google.com/spreadsheets/d/1rEDxBtusbi64tE0zunoIbsTVV16HeL0oJ6trHQeQ7K8/edit?usp=sharing"",""เชียงใหม่!L79"")+IMPORTRANGE(""https://docs.google.com/spreadsheets/d/1W6MnUbDkMi6xHnHko_XkFDO9kkuL6Wqyc-6OCDFjW9I/edit?"&amp;"usp=sharing"",""ตาก!L79"")+IMPORTRANGE(""https://docs.google.com/spreadsheets/d/1IQAWArduLkta9LpYo4a_ULsyqdta6-6aDDiwpUnQT6c/edit?usp=sharing"",""นครสวรรค์!L79"")+IMPORTRANGE(""https://docs.google.com/spreadsheets/d/10s13Sk5xrltsiR-Zkbmk5DwIaDIKO8XlbJAfqy"&amp;"T7Gvg/edit?usp=sharing"",""น่าน!L79"")+IMPORTRANGE(""https://docs.google.com/spreadsheets/d/1uu4nAn4Dbi1XREnLKKotUANlKXa7yCgRcgq8HEzQYW8/edit?usp=sharing"",""พะเยา!L79"")+IMPORTRANGE(""https://docs.google.com/spreadsheets/d/1xfJKIQxVOaPDIICqsflNlLu3JacTDk"&amp;"1FP9RH4phX7mI/edit?usp=sharing"",""พิจิตร!L79"")+IMPORTRANGE(""https://docs.google.com/spreadsheets/d/1JtRfZkJMHtEhI5RdRHxYUG4FIZHqKDpNyIuN7A1Q0_k/edit?usp=sharing"",""พิษณุโลก!L79"")+IMPORTRANGE(""https://docs.google.com/spreadsheets/d/1xlcVZWUNn6SuWm0c3"&amp;"07h32SiGkd9BaeQWlAktfD3KO8/edit?usp=sharing"",""เพชรบูรณ์!L79"")+IMPORTRANGE(""https://docs.google.com/spreadsheets/d/1lOVebEIsI9qjGXl6EX66luk7wiuP2tBaryw-wKvv4e0/edit?usp=sharing"",""แพร่!L79"")+IMPORTRANGE(""https://docs.google.com/spreadsheets/d/1dQrvX"&amp;"0vEcN7Gu0fnZ0B5S90AeR19zth4XlExFBeExMY/edit?usp=sharing"",""แม่ฮ่องสอน!L79"")+IMPORTRANGE(""https://docs.google.com/spreadsheets/d/1DY4XTNNwjluuxqdfdn6qvOSlMRrZqUtmYcZR0ttFiG4/edit?usp=sharing"",""ลำปาง!L79"")+IMPORTRANGE(""https://docs.google.com/spreads"&amp;"heets/d/1ICwG78r0OFT8biBlxnBF8r7she7gNSzOvJ958PWT09c/edit?usp=sharing"",""ลำพูน!L79"")+IMPORTRANGE(""https://docs.google.com/spreadsheets/d/1B0f2xJpZUC6Z0xXnqKlZtEPzsf6L84eP1r1Q15seqRM/edit?usp=sharing"",""สุโขทัย!L79"")+IMPORTRANGE(""https://docs.google."&amp;"com/spreadsheets/d/1v0b9pFQCsKUVExMei7AgY2yQkdeNQvtOssygGsXbiKo/edit?usp=sharing"",""อุตรดิตถ์!L79"")+IMPORTRANGE(""https://docs.google.com/spreadsheets/d/1UsNK1e-WWiCo2PvGqdNfdme4m17_Ezd3J69EeeiQPD0/edit?usp=sharing"",""อุทัยธานี!L79"")"),0)</f>
        <v>0</v>
      </c>
      <c r="M79" s="59">
        <f ca="1">IFERROR(__xludf.DUMMYFUNCTION("IMPORTRANGE(""https://docs.google.com/spreadsheets/d/1jTcq05yEiRwXcBMLjiodW9e4biSGYWAHcDj22rKWQ3s/edit?usp=sharing"",""กำแพงเพชร!M79"")+IMPORTRANGE(""https://docs.google.com/spreadsheets/d/1KS0zmDSZPk8KnTAbGN-Xk6MtX1YRZD0ldgdt20K4CRk/edit?usp=sharing"","""&amp;"เชียงราย!M79"")+IMPORTRANGE(""https://docs.google.com/spreadsheets/d/1rEDxBtusbi64tE0zunoIbsTVV16HeL0oJ6trHQeQ7K8/edit?usp=sharing"",""เชียงใหม่!M79"")+IMPORTRANGE(""https://docs.google.com/spreadsheets/d/1W6MnUbDkMi6xHnHko_XkFDO9kkuL6Wqyc-6OCDFjW9I/edit?"&amp;"usp=sharing"",""ตาก!M79"")+IMPORTRANGE(""https://docs.google.com/spreadsheets/d/1IQAWArduLkta9LpYo4a_ULsyqdta6-6aDDiwpUnQT6c/edit?usp=sharing"",""นครสวรรค์!M79"")+IMPORTRANGE(""https://docs.google.com/spreadsheets/d/10s13Sk5xrltsiR-Zkbmk5DwIaDIKO8XlbJAfqy"&amp;"T7Gvg/edit?usp=sharing"",""น่าน!M79"")+IMPORTRANGE(""https://docs.google.com/spreadsheets/d/1uu4nAn4Dbi1XREnLKKotUANlKXa7yCgRcgq8HEzQYW8/edit?usp=sharing"",""พะเยา!M79"")+IMPORTRANGE(""https://docs.google.com/spreadsheets/d/1xfJKIQxVOaPDIICqsflNlLu3JacTDk"&amp;"1FP9RH4phX7mI/edit?usp=sharing"",""พิจิตร!M79"")+IMPORTRANGE(""https://docs.google.com/spreadsheets/d/1JtRfZkJMHtEhI5RdRHxYUG4FIZHqKDpNyIuN7A1Q0_k/edit?usp=sharing"",""พิษณุโลก!M79"")+IMPORTRANGE(""https://docs.google.com/spreadsheets/d/1xlcVZWUNn6SuWm0c3"&amp;"07h32SiGkd9BaeQWlAktfD3KO8/edit?usp=sharing"",""เพชรบูรณ์!M79"")+IMPORTRANGE(""https://docs.google.com/spreadsheets/d/1lOVebEIsI9qjGXl6EX66luk7wiuP2tBaryw-wKvv4e0/edit?usp=sharing"",""แพร่!M79"")+IMPORTRANGE(""https://docs.google.com/spreadsheets/d/1dQrvX"&amp;"0vEcN7Gu0fnZ0B5S90AeR19zth4XlExFBeExMY/edit?usp=sharing"",""แม่ฮ่องสอน!M79"")+IMPORTRANGE(""https://docs.google.com/spreadsheets/d/1DY4XTNNwjluuxqdfdn6qvOSlMRrZqUtmYcZR0ttFiG4/edit?usp=sharing"",""ลำปาง!M79"")+IMPORTRANGE(""https://docs.google.com/spreads"&amp;"heets/d/1ICwG78r0OFT8biBlxnBF8r7she7gNSzOvJ958PWT09c/edit?usp=sharing"",""ลำพูน!M79"")+IMPORTRANGE(""https://docs.google.com/spreadsheets/d/1B0f2xJpZUC6Z0xXnqKlZtEPzsf6L84eP1r1Q15seqRM/edit?usp=sharing"",""สุโขทัย!M79"")+IMPORTRANGE(""https://docs.google."&amp;"com/spreadsheets/d/1v0b9pFQCsKUVExMei7AgY2yQkdeNQvtOssygGsXbiKo/edit?usp=sharing"",""อุตรดิตถ์!M79"")+IMPORTRANGE(""https://docs.google.com/spreadsheets/d/1UsNK1e-WWiCo2PvGqdNfdme4m17_Ezd3J69EeeiQPD0/edit?usp=sharing"",""อุทัยธานี!M79"")"),0)</f>
        <v>0</v>
      </c>
      <c r="N79" s="59">
        <f ca="1">IFERROR(__xludf.DUMMYFUNCTION("IMPORTRANGE(""https://docs.google.com/spreadsheets/d/1jTcq05yEiRwXcBMLjiodW9e4biSGYWAHcDj22rKWQ3s/edit?usp=sharing"",""กำแพงเพชร!N79"")+IMPORTRANGE(""https://docs.google.com/spreadsheets/d/1KS0zmDSZPk8KnTAbGN-Xk6MtX1YRZD0ldgdt20K4CRk/edit?usp=sharing"","""&amp;"เชียงราย!N79"")+IMPORTRANGE(""https://docs.google.com/spreadsheets/d/1rEDxBtusbi64tE0zunoIbsTVV16HeL0oJ6trHQeQ7K8/edit?usp=sharing"",""เชียงใหม่!N79"")+IMPORTRANGE(""https://docs.google.com/spreadsheets/d/1W6MnUbDkMi6xHnHko_XkFDO9kkuL6Wqyc-6OCDFjW9I/edit?"&amp;"usp=sharing"",""ตาก!N79"")+IMPORTRANGE(""https://docs.google.com/spreadsheets/d/1IQAWArduLkta9LpYo4a_ULsyqdta6-6aDDiwpUnQT6c/edit?usp=sharing"",""นครสวรรค์!N79"")+IMPORTRANGE(""https://docs.google.com/spreadsheets/d/10s13Sk5xrltsiR-Zkbmk5DwIaDIKO8XlbJAfqy"&amp;"T7Gvg/edit?usp=sharing"",""น่าน!N79"")+IMPORTRANGE(""https://docs.google.com/spreadsheets/d/1uu4nAn4Dbi1XREnLKKotUANlKXa7yCgRcgq8HEzQYW8/edit?usp=sharing"",""พะเยา!N79"")+IMPORTRANGE(""https://docs.google.com/spreadsheets/d/1xfJKIQxVOaPDIICqsflNlLu3JacTDk"&amp;"1FP9RH4phX7mI/edit?usp=sharing"",""พิจิตร!N79"")+IMPORTRANGE(""https://docs.google.com/spreadsheets/d/1JtRfZkJMHtEhI5RdRHxYUG4FIZHqKDpNyIuN7A1Q0_k/edit?usp=sharing"",""พิษณุโลก!N79"")+IMPORTRANGE(""https://docs.google.com/spreadsheets/d/1xlcVZWUNn6SuWm0c3"&amp;"07h32SiGkd9BaeQWlAktfD3KO8/edit?usp=sharing"",""เพชรบูรณ์!N79"")+IMPORTRANGE(""https://docs.google.com/spreadsheets/d/1lOVebEIsI9qjGXl6EX66luk7wiuP2tBaryw-wKvv4e0/edit?usp=sharing"",""แพร่!N79"")+IMPORTRANGE(""https://docs.google.com/spreadsheets/d/1dQrvX"&amp;"0vEcN7Gu0fnZ0B5S90AeR19zth4XlExFBeExMY/edit?usp=sharing"",""แม่ฮ่องสอน!N79"")+IMPORTRANGE(""https://docs.google.com/spreadsheets/d/1DY4XTNNwjluuxqdfdn6qvOSlMRrZqUtmYcZR0ttFiG4/edit?usp=sharing"",""ลำปาง!N79"")+IMPORTRANGE(""https://docs.google.com/spreads"&amp;"heets/d/1ICwG78r0OFT8biBlxnBF8r7she7gNSzOvJ958PWT09c/edit?usp=sharing"",""ลำพูน!N79"")+IMPORTRANGE(""https://docs.google.com/spreadsheets/d/1B0f2xJpZUC6Z0xXnqKlZtEPzsf6L84eP1r1Q15seqRM/edit?usp=sharing"",""สุโขทัย!N79"")+IMPORTRANGE(""https://docs.google."&amp;"com/spreadsheets/d/1v0b9pFQCsKUVExMei7AgY2yQkdeNQvtOssygGsXbiKo/edit?usp=sharing"",""อุตรดิตถ์!N79"")+IMPORTRANGE(""https://docs.google.com/spreadsheets/d/1UsNK1e-WWiCo2PvGqdNfdme4m17_Ezd3J69EeeiQPD0/edit?usp=sharing"",""อุทัยธานี!N79"")"),0)</f>
        <v>0</v>
      </c>
      <c r="O79" s="59">
        <f t="shared" ca="1" si="36"/>
        <v>0</v>
      </c>
      <c r="P79" s="59">
        <f t="shared" ca="1" si="37"/>
        <v>0</v>
      </c>
    </row>
    <row r="80" spans="1:16" ht="18.75" x14ac:dyDescent="0.25">
      <c r="A80" s="157"/>
      <c r="B80" s="53"/>
      <c r="C80" s="53"/>
      <c r="D80" s="53"/>
      <c r="E80" s="60" t="s">
        <v>19</v>
      </c>
      <c r="F80" s="53"/>
      <c r="G80" s="55"/>
      <c r="H80" s="166" t="s">
        <v>12</v>
      </c>
      <c r="I80" s="164"/>
      <c r="J80" s="164"/>
      <c r="K80" s="165"/>
      <c r="L80" s="59">
        <f ca="1">IFERROR(__xludf.DUMMYFUNCTION("IMPORTRANGE(""https://docs.google.com/spreadsheets/d/1jTcq05yEiRwXcBMLjiodW9e4biSGYWAHcDj22rKWQ3s/edit?usp=sharing"",""กำแพงเพชร!L80"")+IMPORTRANGE(""https://docs.google.com/spreadsheets/d/1KS0zmDSZPk8KnTAbGN-Xk6MtX1YRZD0ldgdt20K4CRk/edit?usp=sharing"","""&amp;"เชียงราย!L80"")+IMPORTRANGE(""https://docs.google.com/spreadsheets/d/1rEDxBtusbi64tE0zunoIbsTVV16HeL0oJ6trHQeQ7K8/edit?usp=sharing"",""เชียงใหม่!L80"")+IMPORTRANGE(""https://docs.google.com/spreadsheets/d/1W6MnUbDkMi6xHnHko_XkFDO9kkuL6Wqyc-6OCDFjW9I/edit?"&amp;"usp=sharing"",""ตาก!L80"")+IMPORTRANGE(""https://docs.google.com/spreadsheets/d/1IQAWArduLkta9LpYo4a_ULsyqdta6-6aDDiwpUnQT6c/edit?usp=sharing"",""นครสวรรค์!L80"")+IMPORTRANGE(""https://docs.google.com/spreadsheets/d/10s13Sk5xrltsiR-Zkbmk5DwIaDIKO8XlbJAfqy"&amp;"T7Gvg/edit?usp=sharing"",""น่าน!L80"")+IMPORTRANGE(""https://docs.google.com/spreadsheets/d/1uu4nAn4Dbi1XREnLKKotUANlKXa7yCgRcgq8HEzQYW8/edit?usp=sharing"",""พะเยา!L80"")+IMPORTRANGE(""https://docs.google.com/spreadsheets/d/1xfJKIQxVOaPDIICqsflNlLu3JacTDk"&amp;"1FP9RH4phX7mI/edit?usp=sharing"",""พิจิตร!L80"")+IMPORTRANGE(""https://docs.google.com/spreadsheets/d/1JtRfZkJMHtEhI5RdRHxYUG4FIZHqKDpNyIuN7A1Q0_k/edit?usp=sharing"",""พิษณุโลก!L80"")+IMPORTRANGE(""https://docs.google.com/spreadsheets/d/1xlcVZWUNn6SuWm0c3"&amp;"07h32SiGkd9BaeQWlAktfD3KO8/edit?usp=sharing"",""เพชรบูรณ์!L80"")+IMPORTRANGE(""https://docs.google.com/spreadsheets/d/1lOVebEIsI9qjGXl6EX66luk7wiuP2tBaryw-wKvv4e0/edit?usp=sharing"",""แพร่!L80"")+IMPORTRANGE(""https://docs.google.com/spreadsheets/d/1dQrvX"&amp;"0vEcN7Gu0fnZ0B5S90AeR19zth4XlExFBeExMY/edit?usp=sharing"",""แม่ฮ่องสอน!L80"")+IMPORTRANGE(""https://docs.google.com/spreadsheets/d/1DY4XTNNwjluuxqdfdn6qvOSlMRrZqUtmYcZR0ttFiG4/edit?usp=sharing"",""ลำปาง!L80"")+IMPORTRANGE(""https://docs.google.com/spreads"&amp;"heets/d/1ICwG78r0OFT8biBlxnBF8r7she7gNSzOvJ958PWT09c/edit?usp=sharing"",""ลำพูน!L80"")+IMPORTRANGE(""https://docs.google.com/spreadsheets/d/1B0f2xJpZUC6Z0xXnqKlZtEPzsf6L84eP1r1Q15seqRM/edit?usp=sharing"",""สุโขทัย!L80"")+IMPORTRANGE(""https://docs.google."&amp;"com/spreadsheets/d/1v0b9pFQCsKUVExMei7AgY2yQkdeNQvtOssygGsXbiKo/edit?usp=sharing"",""อุตรดิตถ์!L80"")+IMPORTRANGE(""https://docs.google.com/spreadsheets/d/1UsNK1e-WWiCo2PvGqdNfdme4m17_Ezd3J69EeeiQPD0/edit?usp=sharing"",""อุทัยธานี!L80"")"),0)</f>
        <v>0</v>
      </c>
      <c r="M80" s="59">
        <f ca="1">IFERROR(__xludf.DUMMYFUNCTION("IMPORTRANGE(""https://docs.google.com/spreadsheets/d/1jTcq05yEiRwXcBMLjiodW9e4biSGYWAHcDj22rKWQ3s/edit?usp=sharing"",""กำแพงเพชร!M80"")+IMPORTRANGE(""https://docs.google.com/spreadsheets/d/1KS0zmDSZPk8KnTAbGN-Xk6MtX1YRZD0ldgdt20K4CRk/edit?usp=sharing"","""&amp;"เชียงราย!M80"")+IMPORTRANGE(""https://docs.google.com/spreadsheets/d/1rEDxBtusbi64tE0zunoIbsTVV16HeL0oJ6trHQeQ7K8/edit?usp=sharing"",""เชียงใหม่!M80"")+IMPORTRANGE(""https://docs.google.com/spreadsheets/d/1W6MnUbDkMi6xHnHko_XkFDO9kkuL6Wqyc-6OCDFjW9I/edit?"&amp;"usp=sharing"",""ตาก!M80"")+IMPORTRANGE(""https://docs.google.com/spreadsheets/d/1IQAWArduLkta9LpYo4a_ULsyqdta6-6aDDiwpUnQT6c/edit?usp=sharing"",""นครสวรรค์!M80"")+IMPORTRANGE(""https://docs.google.com/spreadsheets/d/10s13Sk5xrltsiR-Zkbmk5DwIaDIKO8XlbJAfqy"&amp;"T7Gvg/edit?usp=sharing"",""น่าน!M80"")+IMPORTRANGE(""https://docs.google.com/spreadsheets/d/1uu4nAn4Dbi1XREnLKKotUANlKXa7yCgRcgq8HEzQYW8/edit?usp=sharing"",""พะเยา!M80"")+IMPORTRANGE(""https://docs.google.com/spreadsheets/d/1xfJKIQxVOaPDIICqsflNlLu3JacTDk"&amp;"1FP9RH4phX7mI/edit?usp=sharing"",""พิจิตร!M80"")+IMPORTRANGE(""https://docs.google.com/spreadsheets/d/1JtRfZkJMHtEhI5RdRHxYUG4FIZHqKDpNyIuN7A1Q0_k/edit?usp=sharing"",""พิษณุโลก!M80"")+IMPORTRANGE(""https://docs.google.com/spreadsheets/d/1xlcVZWUNn6SuWm0c3"&amp;"07h32SiGkd9BaeQWlAktfD3KO8/edit?usp=sharing"",""เพชรบูรณ์!M80"")+IMPORTRANGE(""https://docs.google.com/spreadsheets/d/1lOVebEIsI9qjGXl6EX66luk7wiuP2tBaryw-wKvv4e0/edit?usp=sharing"",""แพร่!M80"")+IMPORTRANGE(""https://docs.google.com/spreadsheets/d/1dQrvX"&amp;"0vEcN7Gu0fnZ0B5S90AeR19zth4XlExFBeExMY/edit?usp=sharing"",""แม่ฮ่องสอน!M80"")+IMPORTRANGE(""https://docs.google.com/spreadsheets/d/1DY4XTNNwjluuxqdfdn6qvOSlMRrZqUtmYcZR0ttFiG4/edit?usp=sharing"",""ลำปาง!M80"")+IMPORTRANGE(""https://docs.google.com/spreads"&amp;"heets/d/1ICwG78r0OFT8biBlxnBF8r7she7gNSzOvJ958PWT09c/edit?usp=sharing"",""ลำพูน!M80"")+IMPORTRANGE(""https://docs.google.com/spreadsheets/d/1B0f2xJpZUC6Z0xXnqKlZtEPzsf6L84eP1r1Q15seqRM/edit?usp=sharing"",""สุโขทัย!M80"")+IMPORTRANGE(""https://docs.google."&amp;"com/spreadsheets/d/1v0b9pFQCsKUVExMei7AgY2yQkdeNQvtOssygGsXbiKo/edit?usp=sharing"",""อุตรดิตถ์!M80"")+IMPORTRANGE(""https://docs.google.com/spreadsheets/d/1UsNK1e-WWiCo2PvGqdNfdme4m17_Ezd3J69EeeiQPD0/edit?usp=sharing"",""อุทัยธานี!M80"")"),0)</f>
        <v>0</v>
      </c>
      <c r="N80" s="59">
        <f ca="1">IFERROR(__xludf.DUMMYFUNCTION("IMPORTRANGE(""https://docs.google.com/spreadsheets/d/1jTcq05yEiRwXcBMLjiodW9e4biSGYWAHcDj22rKWQ3s/edit?usp=sharing"",""กำแพงเพชร!N80"")+IMPORTRANGE(""https://docs.google.com/spreadsheets/d/1KS0zmDSZPk8KnTAbGN-Xk6MtX1YRZD0ldgdt20K4CRk/edit?usp=sharing"","""&amp;"เชียงราย!N80"")+IMPORTRANGE(""https://docs.google.com/spreadsheets/d/1rEDxBtusbi64tE0zunoIbsTVV16HeL0oJ6trHQeQ7K8/edit?usp=sharing"",""เชียงใหม่!N80"")+IMPORTRANGE(""https://docs.google.com/spreadsheets/d/1W6MnUbDkMi6xHnHko_XkFDO9kkuL6Wqyc-6OCDFjW9I/edit?"&amp;"usp=sharing"",""ตาก!N80"")+IMPORTRANGE(""https://docs.google.com/spreadsheets/d/1IQAWArduLkta9LpYo4a_ULsyqdta6-6aDDiwpUnQT6c/edit?usp=sharing"",""นครสวรรค์!N80"")+IMPORTRANGE(""https://docs.google.com/spreadsheets/d/10s13Sk5xrltsiR-Zkbmk5DwIaDIKO8XlbJAfqy"&amp;"T7Gvg/edit?usp=sharing"",""น่าน!N80"")+IMPORTRANGE(""https://docs.google.com/spreadsheets/d/1uu4nAn4Dbi1XREnLKKotUANlKXa7yCgRcgq8HEzQYW8/edit?usp=sharing"",""พะเยา!N80"")+IMPORTRANGE(""https://docs.google.com/spreadsheets/d/1xfJKIQxVOaPDIICqsflNlLu3JacTDk"&amp;"1FP9RH4phX7mI/edit?usp=sharing"",""พิจิตร!N80"")+IMPORTRANGE(""https://docs.google.com/spreadsheets/d/1JtRfZkJMHtEhI5RdRHxYUG4FIZHqKDpNyIuN7A1Q0_k/edit?usp=sharing"",""พิษณุโลก!N80"")+IMPORTRANGE(""https://docs.google.com/spreadsheets/d/1xlcVZWUNn6SuWm0c3"&amp;"07h32SiGkd9BaeQWlAktfD3KO8/edit?usp=sharing"",""เพชรบูรณ์!N80"")+IMPORTRANGE(""https://docs.google.com/spreadsheets/d/1lOVebEIsI9qjGXl6EX66luk7wiuP2tBaryw-wKvv4e0/edit?usp=sharing"",""แพร่!N80"")+IMPORTRANGE(""https://docs.google.com/spreadsheets/d/1dQrvX"&amp;"0vEcN7Gu0fnZ0B5S90AeR19zth4XlExFBeExMY/edit?usp=sharing"",""แม่ฮ่องสอน!N80"")+IMPORTRANGE(""https://docs.google.com/spreadsheets/d/1DY4XTNNwjluuxqdfdn6qvOSlMRrZqUtmYcZR0ttFiG4/edit?usp=sharing"",""ลำปาง!N80"")+IMPORTRANGE(""https://docs.google.com/spreads"&amp;"heets/d/1ICwG78r0OFT8biBlxnBF8r7she7gNSzOvJ958PWT09c/edit?usp=sharing"",""ลำพูน!N80"")+IMPORTRANGE(""https://docs.google.com/spreadsheets/d/1B0f2xJpZUC6Z0xXnqKlZtEPzsf6L84eP1r1Q15seqRM/edit?usp=sharing"",""สุโขทัย!N80"")+IMPORTRANGE(""https://docs.google."&amp;"com/spreadsheets/d/1v0b9pFQCsKUVExMei7AgY2yQkdeNQvtOssygGsXbiKo/edit?usp=sharing"",""อุตรดิตถ์!N80"")+IMPORTRANGE(""https://docs.google.com/spreadsheets/d/1UsNK1e-WWiCo2PvGqdNfdme4m17_Ezd3J69EeeiQPD0/edit?usp=sharing"",""อุทัยธานี!N80"")"),0)</f>
        <v>0</v>
      </c>
      <c r="O80" s="59">
        <f t="shared" ca="1" si="36"/>
        <v>0</v>
      </c>
      <c r="P80" s="59">
        <f t="shared" ca="1" si="37"/>
        <v>0</v>
      </c>
    </row>
    <row r="81" spans="1:16" ht="19.5" x14ac:dyDescent="0.3">
      <c r="A81" s="167"/>
      <c r="B81" s="168"/>
      <c r="C81" s="158" t="s">
        <v>16</v>
      </c>
      <c r="D81" s="169" t="s">
        <v>36</v>
      </c>
      <c r="E81" s="170"/>
      <c r="F81" s="170"/>
      <c r="G81" s="171"/>
      <c r="H81" s="172"/>
      <c r="I81" s="164"/>
      <c r="J81" s="164"/>
      <c r="K81" s="165"/>
      <c r="L81" s="165"/>
      <c r="M81" s="165"/>
      <c r="N81" s="165"/>
      <c r="O81" s="165"/>
      <c r="P81" s="165"/>
    </row>
    <row r="82" spans="1:16" ht="19.5" x14ac:dyDescent="0.3">
      <c r="A82" s="167"/>
      <c r="B82" s="168"/>
      <c r="C82" s="168"/>
      <c r="D82" s="173" t="s">
        <v>37</v>
      </c>
      <c r="E82" s="174"/>
      <c r="F82" s="174"/>
      <c r="G82" s="172"/>
      <c r="H82" s="175" t="s">
        <v>32</v>
      </c>
      <c r="I82" s="176">
        <f t="shared" ref="I82:J82" ca="1" si="42">I84+I86+I88</f>
        <v>4</v>
      </c>
      <c r="J82" s="176">
        <f t="shared" ca="1" si="42"/>
        <v>1</v>
      </c>
      <c r="K82" s="177">
        <f t="shared" ref="K82:K90" ca="1" si="43">IF(I82&gt;0,J82*100/I82,0)</f>
        <v>25</v>
      </c>
      <c r="L82" s="165"/>
      <c r="M82" s="165"/>
      <c r="N82" s="165"/>
      <c r="O82" s="165"/>
      <c r="P82" s="165"/>
    </row>
    <row r="83" spans="1:16" ht="19.5" x14ac:dyDescent="0.3">
      <c r="A83" s="167"/>
      <c r="B83" s="168"/>
      <c r="C83" s="168"/>
      <c r="D83" s="168"/>
      <c r="E83" s="174"/>
      <c r="F83" s="174"/>
      <c r="G83" s="172"/>
      <c r="H83" s="175" t="s">
        <v>33</v>
      </c>
      <c r="I83" s="176">
        <f t="shared" ref="I83:J83" ca="1" si="44">I85+I87+I89</f>
        <v>157</v>
      </c>
      <c r="J83" s="176">
        <f t="shared" ca="1" si="44"/>
        <v>30</v>
      </c>
      <c r="K83" s="177">
        <f t="shared" ca="1" si="43"/>
        <v>19.108280254777071</v>
      </c>
      <c r="L83" s="165"/>
      <c r="M83" s="165"/>
      <c r="N83" s="165"/>
      <c r="O83" s="165"/>
      <c r="P83" s="165"/>
    </row>
    <row r="84" spans="1:16" ht="18.75" x14ac:dyDescent="0.25">
      <c r="A84" s="167"/>
      <c r="B84" s="168"/>
      <c r="C84" s="168"/>
      <c r="D84" s="168"/>
      <c r="E84" s="178" t="s">
        <v>38</v>
      </c>
      <c r="F84" s="174"/>
      <c r="G84" s="172"/>
      <c r="H84" s="179" t="s">
        <v>32</v>
      </c>
      <c r="I84" s="180">
        <f ca="1">IFERROR(__xludf.DUMMYFUNCTION("IMPORTRANGE(""https://docs.google.com/spreadsheets/d/1jTcq05yEiRwXcBMLjiodW9e4biSGYWAHcDj22rKWQ3s/edit?usp=sharing"",""กำแพงเพชร!I84"")+IMPORTRANGE(""https://docs.google.com/spreadsheets/d/1KS0zmDSZPk8KnTAbGN-Xk6MtX1YRZD0ldgdt20K4CRk/edit?usp=sharing"","""&amp;"เชียงราย!I84"")+IMPORTRANGE(""https://docs.google.com/spreadsheets/d/1rEDxBtusbi64tE0zunoIbsTVV16HeL0oJ6trHQeQ7K8/edit?usp=sharing"",""เชียงใหม่!I84"")+IMPORTRANGE(""https://docs.google.com/spreadsheets/d/1W6MnUbDkMi6xHnHko_XkFDO9kkuL6Wqyc-6OCDFjW9I/edit?"&amp;"usp=sharing"",""ตาก!I84"")+IMPORTRANGE(""https://docs.google.com/spreadsheets/d/1IQAWArduLkta9LpYo4a_ULsyqdta6-6aDDiwpUnQT6c/edit?usp=sharing"",""นครสวรรค์!I84"")+IMPORTRANGE(""https://docs.google.com/spreadsheets/d/10s13Sk5xrltsiR-Zkbmk5DwIaDIKO8XlbJAfqy"&amp;"T7Gvg/edit?usp=sharing"",""น่าน!I84"")+IMPORTRANGE(""https://docs.google.com/spreadsheets/d/1uu4nAn4Dbi1XREnLKKotUANlKXa7yCgRcgq8HEzQYW8/edit?usp=sharing"",""พะเยา!I84"")+IMPORTRANGE(""https://docs.google.com/spreadsheets/d/1xfJKIQxVOaPDIICqsflNlLu3JacTDk"&amp;"1FP9RH4phX7mI/edit?usp=sharing"",""พิจิตร!I84"")+IMPORTRANGE(""https://docs.google.com/spreadsheets/d/1JtRfZkJMHtEhI5RdRHxYUG4FIZHqKDpNyIuN7A1Q0_k/edit?usp=sharing"",""พิษณุโลก!I84"")+IMPORTRANGE(""https://docs.google.com/spreadsheets/d/1xlcVZWUNn6SuWm0c3"&amp;"07h32SiGkd9BaeQWlAktfD3KO8/edit?usp=sharing"",""เพชรบูรณ์!I84"")+IMPORTRANGE(""https://docs.google.com/spreadsheets/d/1lOVebEIsI9qjGXl6EX66luk7wiuP2tBaryw-wKvv4e0/edit?usp=sharing"",""แพร่!I84"")+IMPORTRANGE(""https://docs.google.com/spreadsheets/d/1dQrvX"&amp;"0vEcN7Gu0fnZ0B5S90AeR19zth4XlExFBeExMY/edit?usp=sharing"",""แม่ฮ่องสอน!I84"")+IMPORTRANGE(""https://docs.google.com/spreadsheets/d/1DY4XTNNwjluuxqdfdn6qvOSlMRrZqUtmYcZR0ttFiG4/edit?usp=sharing"",""ลำปาง!I84"")+IMPORTRANGE(""https://docs.google.com/spreads"&amp;"heets/d/1ICwG78r0OFT8biBlxnBF8r7she7gNSzOvJ958PWT09c/edit?usp=sharing"",""ลำพูน!I84"")+IMPORTRANGE(""https://docs.google.com/spreadsheets/d/1B0f2xJpZUC6Z0xXnqKlZtEPzsf6L84eP1r1Q15seqRM/edit?usp=sharing"",""สุโขทัย!I84"")+IMPORTRANGE(""https://docs.google."&amp;"com/spreadsheets/d/1v0b9pFQCsKUVExMei7AgY2yQkdeNQvtOssygGsXbiKo/edit?usp=sharing"",""อุตรดิตถ์!I84"")+IMPORTRANGE(""https://docs.google.com/spreadsheets/d/1UsNK1e-WWiCo2PvGqdNfdme4m17_Ezd3J69EeeiQPD0/edit?usp=sharing"",""อุทัยธานี!I84"")"),0)</f>
        <v>0</v>
      </c>
      <c r="J84" s="181">
        <f ca="1">IFERROR(__xludf.DUMMYFUNCTION("IMPORTRANGE(""https://docs.google.com/spreadsheets/d/1jTcq05yEiRwXcBMLjiodW9e4biSGYWAHcDj22rKWQ3s/edit?usp=sharing"",""กำแพงเพชร!J84"")+IMPORTRANGE(""https://docs.google.com/spreadsheets/d/1KS0zmDSZPk8KnTAbGN-Xk6MtX1YRZD0ldgdt20K4CRk/edit?usp=sharing"","""&amp;"เชียงราย!J84"")+IMPORTRANGE(""https://docs.google.com/spreadsheets/d/1rEDxBtusbi64tE0zunoIbsTVV16HeL0oJ6trHQeQ7K8/edit?usp=sharing"",""เชียงใหม่!J84"")+IMPORTRANGE(""https://docs.google.com/spreadsheets/d/1W6MnUbDkMi6xHnHko_XkFDO9kkuL6Wqyc-6OCDFjW9I/edit?"&amp;"usp=sharing"",""ตาก!J84"")+IMPORTRANGE(""https://docs.google.com/spreadsheets/d/1IQAWArduLkta9LpYo4a_ULsyqdta6-6aDDiwpUnQT6c/edit?usp=sharing"",""นครสวรรค์!J84"")+IMPORTRANGE(""https://docs.google.com/spreadsheets/d/10s13Sk5xrltsiR-Zkbmk5DwIaDIKO8XlbJAfqy"&amp;"T7Gvg/edit?usp=sharing"",""น่าน!J84"")+IMPORTRANGE(""https://docs.google.com/spreadsheets/d/1uu4nAn4Dbi1XREnLKKotUANlKXa7yCgRcgq8HEzQYW8/edit?usp=sharing"",""พะเยา!J84"")+IMPORTRANGE(""https://docs.google.com/spreadsheets/d/1xfJKIQxVOaPDIICqsflNlLu3JacTDk"&amp;"1FP9RH4phX7mI/edit?usp=sharing"",""พิจิตร!J84"")+IMPORTRANGE(""https://docs.google.com/spreadsheets/d/1JtRfZkJMHtEhI5RdRHxYUG4FIZHqKDpNyIuN7A1Q0_k/edit?usp=sharing"",""พิษณุโลก!J84"")+IMPORTRANGE(""https://docs.google.com/spreadsheets/d/1xlcVZWUNn6SuWm0c3"&amp;"07h32SiGkd9BaeQWlAktfD3KO8/edit?usp=sharing"",""เพชรบูรณ์!J84"")+IMPORTRANGE(""https://docs.google.com/spreadsheets/d/1lOVebEIsI9qjGXl6EX66luk7wiuP2tBaryw-wKvv4e0/edit?usp=sharing"",""แพร่!J84"")+IMPORTRANGE(""https://docs.google.com/spreadsheets/d/1dQrvX"&amp;"0vEcN7Gu0fnZ0B5S90AeR19zth4XlExFBeExMY/edit?usp=sharing"",""แม่ฮ่องสอน!J84"")+IMPORTRANGE(""https://docs.google.com/spreadsheets/d/1DY4XTNNwjluuxqdfdn6qvOSlMRrZqUtmYcZR0ttFiG4/edit?usp=sharing"",""ลำปาง!J84"")+IMPORTRANGE(""https://docs.google.com/spreads"&amp;"heets/d/1ICwG78r0OFT8biBlxnBF8r7she7gNSzOvJ958PWT09c/edit?usp=sharing"",""ลำพูน!J84"")+IMPORTRANGE(""https://docs.google.com/spreadsheets/d/1B0f2xJpZUC6Z0xXnqKlZtEPzsf6L84eP1r1Q15seqRM/edit?usp=sharing"",""สุโขทัย!J84"")+IMPORTRANGE(""https://docs.google."&amp;"com/spreadsheets/d/1v0b9pFQCsKUVExMei7AgY2yQkdeNQvtOssygGsXbiKo/edit?usp=sharing"",""อุตรดิตถ์!J84"")+IMPORTRANGE(""https://docs.google.com/spreadsheets/d/1UsNK1e-WWiCo2PvGqdNfdme4m17_Ezd3J69EeeiQPD0/edit?usp=sharing"",""อุทัยธานี!J84"")"),0)</f>
        <v>0</v>
      </c>
      <c r="K84" s="182">
        <f t="shared" ca="1" si="43"/>
        <v>0</v>
      </c>
      <c r="L84" s="165"/>
      <c r="M84" s="165"/>
      <c r="N84" s="165"/>
      <c r="O84" s="165"/>
      <c r="P84" s="165"/>
    </row>
    <row r="85" spans="1:16" ht="18.75" x14ac:dyDescent="0.25">
      <c r="A85" s="167"/>
      <c r="B85" s="168"/>
      <c r="C85" s="168"/>
      <c r="D85" s="168"/>
      <c r="E85" s="174"/>
      <c r="F85" s="174"/>
      <c r="G85" s="172"/>
      <c r="H85" s="179" t="s">
        <v>33</v>
      </c>
      <c r="I85" s="180">
        <f ca="1">IFERROR(__xludf.DUMMYFUNCTION("IMPORTRANGE(""https://docs.google.com/spreadsheets/d/1jTcq05yEiRwXcBMLjiodW9e4biSGYWAHcDj22rKWQ3s/edit?usp=sharing"",""กำแพงเพชร!I85"")+IMPORTRANGE(""https://docs.google.com/spreadsheets/d/1KS0zmDSZPk8KnTAbGN-Xk6MtX1YRZD0ldgdt20K4CRk/edit?usp=sharing"","""&amp;"เชียงราย!I85"")+IMPORTRANGE(""https://docs.google.com/spreadsheets/d/1rEDxBtusbi64tE0zunoIbsTVV16HeL0oJ6trHQeQ7K8/edit?usp=sharing"",""เชียงใหม่!I85"")+IMPORTRANGE(""https://docs.google.com/spreadsheets/d/1W6MnUbDkMi6xHnHko_XkFDO9kkuL6Wqyc-6OCDFjW9I/edit?"&amp;"usp=sharing"",""ตาก!I85"")+IMPORTRANGE(""https://docs.google.com/spreadsheets/d/1IQAWArduLkta9LpYo4a_ULsyqdta6-6aDDiwpUnQT6c/edit?usp=sharing"",""นครสวรรค์!I85"")+IMPORTRANGE(""https://docs.google.com/spreadsheets/d/10s13Sk5xrltsiR-Zkbmk5DwIaDIKO8XlbJAfqy"&amp;"T7Gvg/edit?usp=sharing"",""น่าน!I85"")+IMPORTRANGE(""https://docs.google.com/spreadsheets/d/1uu4nAn4Dbi1XREnLKKotUANlKXa7yCgRcgq8HEzQYW8/edit?usp=sharing"",""พะเยา!I85"")+IMPORTRANGE(""https://docs.google.com/spreadsheets/d/1xfJKIQxVOaPDIICqsflNlLu3JacTDk"&amp;"1FP9RH4phX7mI/edit?usp=sharing"",""พิจิตร!I85"")+IMPORTRANGE(""https://docs.google.com/spreadsheets/d/1JtRfZkJMHtEhI5RdRHxYUG4FIZHqKDpNyIuN7A1Q0_k/edit?usp=sharing"",""พิษณุโลก!I85"")+IMPORTRANGE(""https://docs.google.com/spreadsheets/d/1xlcVZWUNn6SuWm0c3"&amp;"07h32SiGkd9BaeQWlAktfD3KO8/edit?usp=sharing"",""เพชรบูรณ์!I85"")+IMPORTRANGE(""https://docs.google.com/spreadsheets/d/1lOVebEIsI9qjGXl6EX66luk7wiuP2tBaryw-wKvv4e0/edit?usp=sharing"",""แพร่!I85"")+IMPORTRANGE(""https://docs.google.com/spreadsheets/d/1dQrvX"&amp;"0vEcN7Gu0fnZ0B5S90AeR19zth4XlExFBeExMY/edit?usp=sharing"",""แม่ฮ่องสอน!I85"")+IMPORTRANGE(""https://docs.google.com/spreadsheets/d/1DY4XTNNwjluuxqdfdn6qvOSlMRrZqUtmYcZR0ttFiG4/edit?usp=sharing"",""ลำปาง!I85"")+IMPORTRANGE(""https://docs.google.com/spreads"&amp;"heets/d/1ICwG78r0OFT8biBlxnBF8r7she7gNSzOvJ958PWT09c/edit?usp=sharing"",""ลำพูน!I85"")+IMPORTRANGE(""https://docs.google.com/spreadsheets/d/1B0f2xJpZUC6Z0xXnqKlZtEPzsf6L84eP1r1Q15seqRM/edit?usp=sharing"",""สุโขทัย!I85"")+IMPORTRANGE(""https://docs.google."&amp;"com/spreadsheets/d/1v0b9pFQCsKUVExMei7AgY2yQkdeNQvtOssygGsXbiKo/edit?usp=sharing"",""อุตรดิตถ์!I85"")+IMPORTRANGE(""https://docs.google.com/spreadsheets/d/1UsNK1e-WWiCo2PvGqdNfdme4m17_Ezd3J69EeeiQPD0/edit?usp=sharing"",""อุทัยธานี!I85"")"),0)</f>
        <v>0</v>
      </c>
      <c r="J85" s="181">
        <f ca="1">IFERROR(__xludf.DUMMYFUNCTION("IMPORTRANGE(""https://docs.google.com/spreadsheets/d/1jTcq05yEiRwXcBMLjiodW9e4biSGYWAHcDj22rKWQ3s/edit?usp=sharing"",""กำแพงเพชร!J85"")+IMPORTRANGE(""https://docs.google.com/spreadsheets/d/1KS0zmDSZPk8KnTAbGN-Xk6MtX1YRZD0ldgdt20K4CRk/edit?usp=sharing"","""&amp;"เชียงราย!J85"")+IMPORTRANGE(""https://docs.google.com/spreadsheets/d/1rEDxBtusbi64tE0zunoIbsTVV16HeL0oJ6trHQeQ7K8/edit?usp=sharing"",""เชียงใหม่!J85"")+IMPORTRANGE(""https://docs.google.com/spreadsheets/d/1W6MnUbDkMi6xHnHko_XkFDO9kkuL6Wqyc-6OCDFjW9I/edit?"&amp;"usp=sharing"",""ตาก!J85"")+IMPORTRANGE(""https://docs.google.com/spreadsheets/d/1IQAWArduLkta9LpYo4a_ULsyqdta6-6aDDiwpUnQT6c/edit?usp=sharing"",""นครสวรรค์!J85"")+IMPORTRANGE(""https://docs.google.com/spreadsheets/d/10s13Sk5xrltsiR-Zkbmk5DwIaDIKO8XlbJAfqy"&amp;"T7Gvg/edit?usp=sharing"",""น่าน!J85"")+IMPORTRANGE(""https://docs.google.com/spreadsheets/d/1uu4nAn4Dbi1XREnLKKotUANlKXa7yCgRcgq8HEzQYW8/edit?usp=sharing"",""พะเยา!J85"")+IMPORTRANGE(""https://docs.google.com/spreadsheets/d/1xfJKIQxVOaPDIICqsflNlLu3JacTDk"&amp;"1FP9RH4phX7mI/edit?usp=sharing"",""พิจิตร!J85"")+IMPORTRANGE(""https://docs.google.com/spreadsheets/d/1JtRfZkJMHtEhI5RdRHxYUG4FIZHqKDpNyIuN7A1Q0_k/edit?usp=sharing"",""พิษณุโลก!J85"")+IMPORTRANGE(""https://docs.google.com/spreadsheets/d/1xlcVZWUNn6SuWm0c3"&amp;"07h32SiGkd9BaeQWlAktfD3KO8/edit?usp=sharing"",""เพชรบูรณ์!J85"")+IMPORTRANGE(""https://docs.google.com/spreadsheets/d/1lOVebEIsI9qjGXl6EX66luk7wiuP2tBaryw-wKvv4e0/edit?usp=sharing"",""แพร่!J85"")+IMPORTRANGE(""https://docs.google.com/spreadsheets/d/1dQrvX"&amp;"0vEcN7Gu0fnZ0B5S90AeR19zth4XlExFBeExMY/edit?usp=sharing"",""แม่ฮ่องสอน!J85"")+IMPORTRANGE(""https://docs.google.com/spreadsheets/d/1DY4XTNNwjluuxqdfdn6qvOSlMRrZqUtmYcZR0ttFiG4/edit?usp=sharing"",""ลำปาง!J85"")+IMPORTRANGE(""https://docs.google.com/spreads"&amp;"heets/d/1ICwG78r0OFT8biBlxnBF8r7she7gNSzOvJ958PWT09c/edit?usp=sharing"",""ลำพูน!J85"")+IMPORTRANGE(""https://docs.google.com/spreadsheets/d/1B0f2xJpZUC6Z0xXnqKlZtEPzsf6L84eP1r1Q15seqRM/edit?usp=sharing"",""สุโขทัย!J85"")+IMPORTRANGE(""https://docs.google."&amp;"com/spreadsheets/d/1v0b9pFQCsKUVExMei7AgY2yQkdeNQvtOssygGsXbiKo/edit?usp=sharing"",""อุตรดิตถ์!J85"")+IMPORTRANGE(""https://docs.google.com/spreadsheets/d/1UsNK1e-WWiCo2PvGqdNfdme4m17_Ezd3J69EeeiQPD0/edit?usp=sharing"",""อุทัยธานี!J85"")"),0)</f>
        <v>0</v>
      </c>
      <c r="K85" s="182">
        <f t="shared" ca="1" si="43"/>
        <v>0</v>
      </c>
      <c r="L85" s="165"/>
      <c r="M85" s="165"/>
      <c r="N85" s="165"/>
      <c r="O85" s="165"/>
      <c r="P85" s="165"/>
    </row>
    <row r="86" spans="1:16" ht="18.75" x14ac:dyDescent="0.25">
      <c r="A86" s="167"/>
      <c r="B86" s="168"/>
      <c r="C86" s="168"/>
      <c r="D86" s="168"/>
      <c r="E86" s="178" t="s">
        <v>39</v>
      </c>
      <c r="F86" s="174"/>
      <c r="G86" s="172"/>
      <c r="H86" s="179" t="s">
        <v>32</v>
      </c>
      <c r="I86" s="180">
        <f ca="1">IFERROR(__xludf.DUMMYFUNCTION("IMPORTRANGE(""https://docs.google.com/spreadsheets/d/1jTcq05yEiRwXcBMLjiodW9e4biSGYWAHcDj22rKWQ3s/edit?usp=sharing"",""กำแพงเพชร!I86"")+IMPORTRANGE(""https://docs.google.com/spreadsheets/d/1KS0zmDSZPk8KnTAbGN-Xk6MtX1YRZD0ldgdt20K4CRk/edit?usp=sharing"","""&amp;"เชียงราย!I86"")+IMPORTRANGE(""https://docs.google.com/spreadsheets/d/1rEDxBtusbi64tE0zunoIbsTVV16HeL0oJ6trHQeQ7K8/edit?usp=sharing"",""เชียงใหม่!I86"")+IMPORTRANGE(""https://docs.google.com/spreadsheets/d/1W6MnUbDkMi6xHnHko_XkFDO9kkuL6Wqyc-6OCDFjW9I/edit?"&amp;"usp=sharing"",""ตาก!I86"")+IMPORTRANGE(""https://docs.google.com/spreadsheets/d/1IQAWArduLkta9LpYo4a_ULsyqdta6-6aDDiwpUnQT6c/edit?usp=sharing"",""นครสวรรค์!I86"")+IMPORTRANGE(""https://docs.google.com/spreadsheets/d/10s13Sk5xrltsiR-Zkbmk5DwIaDIKO8XlbJAfqy"&amp;"T7Gvg/edit?usp=sharing"",""น่าน!I86"")+IMPORTRANGE(""https://docs.google.com/spreadsheets/d/1uu4nAn4Dbi1XREnLKKotUANlKXa7yCgRcgq8HEzQYW8/edit?usp=sharing"",""พะเยา!I86"")+IMPORTRANGE(""https://docs.google.com/spreadsheets/d/1xfJKIQxVOaPDIICqsflNlLu3JacTDk"&amp;"1FP9RH4phX7mI/edit?usp=sharing"",""พิจิตร!I86"")+IMPORTRANGE(""https://docs.google.com/spreadsheets/d/1JtRfZkJMHtEhI5RdRHxYUG4FIZHqKDpNyIuN7A1Q0_k/edit?usp=sharing"",""พิษณุโลก!I86"")+IMPORTRANGE(""https://docs.google.com/spreadsheets/d/1xlcVZWUNn6SuWm0c3"&amp;"07h32SiGkd9BaeQWlAktfD3KO8/edit?usp=sharing"",""เพชรบูรณ์!I86"")+IMPORTRANGE(""https://docs.google.com/spreadsheets/d/1lOVebEIsI9qjGXl6EX66luk7wiuP2tBaryw-wKvv4e0/edit?usp=sharing"",""แพร่!I86"")+IMPORTRANGE(""https://docs.google.com/spreadsheets/d/1dQrvX"&amp;"0vEcN7Gu0fnZ0B5S90AeR19zth4XlExFBeExMY/edit?usp=sharing"",""แม่ฮ่องสอน!I86"")+IMPORTRANGE(""https://docs.google.com/spreadsheets/d/1DY4XTNNwjluuxqdfdn6qvOSlMRrZqUtmYcZR0ttFiG4/edit?usp=sharing"",""ลำปาง!I86"")+IMPORTRANGE(""https://docs.google.com/spreads"&amp;"heets/d/1ICwG78r0OFT8biBlxnBF8r7she7gNSzOvJ958PWT09c/edit?usp=sharing"",""ลำพูน!I86"")+IMPORTRANGE(""https://docs.google.com/spreadsheets/d/1B0f2xJpZUC6Z0xXnqKlZtEPzsf6L84eP1r1Q15seqRM/edit?usp=sharing"",""สุโขทัย!I86"")+IMPORTRANGE(""https://docs.google."&amp;"com/spreadsheets/d/1v0b9pFQCsKUVExMei7AgY2yQkdeNQvtOssygGsXbiKo/edit?usp=sharing"",""อุตรดิตถ์!I86"")+IMPORTRANGE(""https://docs.google.com/spreadsheets/d/1UsNK1e-WWiCo2PvGqdNfdme4m17_Ezd3J69EeeiQPD0/edit?usp=sharing"",""อุทัยธานี!I86"")"),0)</f>
        <v>0</v>
      </c>
      <c r="J86" s="181">
        <f ca="1">IFERROR(__xludf.DUMMYFUNCTION("IMPORTRANGE(""https://docs.google.com/spreadsheets/d/1jTcq05yEiRwXcBMLjiodW9e4biSGYWAHcDj22rKWQ3s/edit?usp=sharing"",""กำแพงเพชร!J86"")+IMPORTRANGE(""https://docs.google.com/spreadsheets/d/1KS0zmDSZPk8KnTAbGN-Xk6MtX1YRZD0ldgdt20K4CRk/edit?usp=sharing"","""&amp;"เชียงราย!J86"")+IMPORTRANGE(""https://docs.google.com/spreadsheets/d/1rEDxBtusbi64tE0zunoIbsTVV16HeL0oJ6trHQeQ7K8/edit?usp=sharing"",""เชียงใหม่!J86"")+IMPORTRANGE(""https://docs.google.com/spreadsheets/d/1W6MnUbDkMi6xHnHko_XkFDO9kkuL6Wqyc-6OCDFjW9I/edit?"&amp;"usp=sharing"",""ตาก!J86"")+IMPORTRANGE(""https://docs.google.com/spreadsheets/d/1IQAWArduLkta9LpYo4a_ULsyqdta6-6aDDiwpUnQT6c/edit?usp=sharing"",""นครสวรรค์!J86"")+IMPORTRANGE(""https://docs.google.com/spreadsheets/d/10s13Sk5xrltsiR-Zkbmk5DwIaDIKO8XlbJAfqy"&amp;"T7Gvg/edit?usp=sharing"",""น่าน!J86"")+IMPORTRANGE(""https://docs.google.com/spreadsheets/d/1uu4nAn4Dbi1XREnLKKotUANlKXa7yCgRcgq8HEzQYW8/edit?usp=sharing"",""พะเยา!J86"")+IMPORTRANGE(""https://docs.google.com/spreadsheets/d/1xfJKIQxVOaPDIICqsflNlLu3JacTDk"&amp;"1FP9RH4phX7mI/edit?usp=sharing"",""พิจิตร!J86"")+IMPORTRANGE(""https://docs.google.com/spreadsheets/d/1JtRfZkJMHtEhI5RdRHxYUG4FIZHqKDpNyIuN7A1Q0_k/edit?usp=sharing"",""พิษณุโลก!J86"")+IMPORTRANGE(""https://docs.google.com/spreadsheets/d/1xlcVZWUNn6SuWm0c3"&amp;"07h32SiGkd9BaeQWlAktfD3KO8/edit?usp=sharing"",""เพชรบูรณ์!J86"")+IMPORTRANGE(""https://docs.google.com/spreadsheets/d/1lOVebEIsI9qjGXl6EX66luk7wiuP2tBaryw-wKvv4e0/edit?usp=sharing"",""แพร่!J86"")+IMPORTRANGE(""https://docs.google.com/spreadsheets/d/1dQrvX"&amp;"0vEcN7Gu0fnZ0B5S90AeR19zth4XlExFBeExMY/edit?usp=sharing"",""แม่ฮ่องสอน!J86"")+IMPORTRANGE(""https://docs.google.com/spreadsheets/d/1DY4XTNNwjluuxqdfdn6qvOSlMRrZqUtmYcZR0ttFiG4/edit?usp=sharing"",""ลำปาง!J86"")+IMPORTRANGE(""https://docs.google.com/spreads"&amp;"heets/d/1ICwG78r0OFT8biBlxnBF8r7she7gNSzOvJ958PWT09c/edit?usp=sharing"",""ลำพูน!J86"")+IMPORTRANGE(""https://docs.google.com/spreadsheets/d/1B0f2xJpZUC6Z0xXnqKlZtEPzsf6L84eP1r1Q15seqRM/edit?usp=sharing"",""สุโขทัย!J86"")+IMPORTRANGE(""https://docs.google."&amp;"com/spreadsheets/d/1v0b9pFQCsKUVExMei7AgY2yQkdeNQvtOssygGsXbiKo/edit?usp=sharing"",""อุตรดิตถ์!J86"")+IMPORTRANGE(""https://docs.google.com/spreadsheets/d/1UsNK1e-WWiCo2PvGqdNfdme4m17_Ezd3J69EeeiQPD0/edit?usp=sharing"",""อุทัยธานี!J86"")"),0)</f>
        <v>0</v>
      </c>
      <c r="K86" s="182">
        <f t="shared" ca="1" si="43"/>
        <v>0</v>
      </c>
      <c r="L86" s="165"/>
      <c r="M86" s="165"/>
      <c r="N86" s="165"/>
      <c r="O86" s="165"/>
      <c r="P86" s="165"/>
    </row>
    <row r="87" spans="1:16" ht="18.75" x14ac:dyDescent="0.25">
      <c r="A87" s="167"/>
      <c r="B87" s="168"/>
      <c r="C87" s="168"/>
      <c r="D87" s="168"/>
      <c r="E87" s="174"/>
      <c r="F87" s="174"/>
      <c r="G87" s="172"/>
      <c r="H87" s="179" t="s">
        <v>33</v>
      </c>
      <c r="I87" s="180">
        <f ca="1">IFERROR(__xludf.DUMMYFUNCTION("IMPORTRANGE(""https://docs.google.com/spreadsheets/d/1jTcq05yEiRwXcBMLjiodW9e4biSGYWAHcDj22rKWQ3s/edit?usp=sharing"",""กำแพงเพชร!I87"")+IMPORTRANGE(""https://docs.google.com/spreadsheets/d/1KS0zmDSZPk8KnTAbGN-Xk6MtX1YRZD0ldgdt20K4CRk/edit?usp=sharing"","""&amp;"เชียงราย!I87"")+IMPORTRANGE(""https://docs.google.com/spreadsheets/d/1rEDxBtusbi64tE0zunoIbsTVV16HeL0oJ6trHQeQ7K8/edit?usp=sharing"",""เชียงใหม่!I87"")+IMPORTRANGE(""https://docs.google.com/spreadsheets/d/1W6MnUbDkMi6xHnHko_XkFDO9kkuL6Wqyc-6OCDFjW9I/edit?"&amp;"usp=sharing"",""ตาก!I87"")+IMPORTRANGE(""https://docs.google.com/spreadsheets/d/1IQAWArduLkta9LpYo4a_ULsyqdta6-6aDDiwpUnQT6c/edit?usp=sharing"",""นครสวรรค์!I87"")+IMPORTRANGE(""https://docs.google.com/spreadsheets/d/10s13Sk5xrltsiR-Zkbmk5DwIaDIKO8XlbJAfqy"&amp;"T7Gvg/edit?usp=sharing"",""น่าน!I87"")+IMPORTRANGE(""https://docs.google.com/spreadsheets/d/1uu4nAn4Dbi1XREnLKKotUANlKXa7yCgRcgq8HEzQYW8/edit?usp=sharing"",""พะเยา!I87"")+IMPORTRANGE(""https://docs.google.com/spreadsheets/d/1xfJKIQxVOaPDIICqsflNlLu3JacTDk"&amp;"1FP9RH4phX7mI/edit?usp=sharing"",""พิจิตร!I87"")+IMPORTRANGE(""https://docs.google.com/spreadsheets/d/1JtRfZkJMHtEhI5RdRHxYUG4FIZHqKDpNyIuN7A1Q0_k/edit?usp=sharing"",""พิษณุโลก!I87"")+IMPORTRANGE(""https://docs.google.com/spreadsheets/d/1xlcVZWUNn6SuWm0c3"&amp;"07h32SiGkd9BaeQWlAktfD3KO8/edit?usp=sharing"",""เพชรบูรณ์!I87"")+IMPORTRANGE(""https://docs.google.com/spreadsheets/d/1lOVebEIsI9qjGXl6EX66luk7wiuP2tBaryw-wKvv4e0/edit?usp=sharing"",""แพร่!I87"")+IMPORTRANGE(""https://docs.google.com/spreadsheets/d/1dQrvX"&amp;"0vEcN7Gu0fnZ0B5S90AeR19zth4XlExFBeExMY/edit?usp=sharing"",""แม่ฮ่องสอน!I87"")+IMPORTRANGE(""https://docs.google.com/spreadsheets/d/1DY4XTNNwjluuxqdfdn6qvOSlMRrZqUtmYcZR0ttFiG4/edit?usp=sharing"",""ลำปาง!I87"")+IMPORTRANGE(""https://docs.google.com/spreads"&amp;"heets/d/1ICwG78r0OFT8biBlxnBF8r7she7gNSzOvJ958PWT09c/edit?usp=sharing"",""ลำพูน!I87"")+IMPORTRANGE(""https://docs.google.com/spreadsheets/d/1B0f2xJpZUC6Z0xXnqKlZtEPzsf6L84eP1r1Q15seqRM/edit?usp=sharing"",""สุโขทัย!I87"")+IMPORTRANGE(""https://docs.google."&amp;"com/spreadsheets/d/1v0b9pFQCsKUVExMei7AgY2yQkdeNQvtOssygGsXbiKo/edit?usp=sharing"",""อุตรดิตถ์!I87"")+IMPORTRANGE(""https://docs.google.com/spreadsheets/d/1UsNK1e-WWiCo2PvGqdNfdme4m17_Ezd3J69EeeiQPD0/edit?usp=sharing"",""อุทัยธานี!I87"")"),0)</f>
        <v>0</v>
      </c>
      <c r="J87" s="181">
        <f ca="1">IFERROR(__xludf.DUMMYFUNCTION("IMPORTRANGE(""https://docs.google.com/spreadsheets/d/1jTcq05yEiRwXcBMLjiodW9e4biSGYWAHcDj22rKWQ3s/edit?usp=sharing"",""กำแพงเพชร!J87"")+IMPORTRANGE(""https://docs.google.com/spreadsheets/d/1KS0zmDSZPk8KnTAbGN-Xk6MtX1YRZD0ldgdt20K4CRk/edit?usp=sharing"","""&amp;"เชียงราย!J87"")+IMPORTRANGE(""https://docs.google.com/spreadsheets/d/1rEDxBtusbi64tE0zunoIbsTVV16HeL0oJ6trHQeQ7K8/edit?usp=sharing"",""เชียงใหม่!J87"")+IMPORTRANGE(""https://docs.google.com/spreadsheets/d/1W6MnUbDkMi6xHnHko_XkFDO9kkuL6Wqyc-6OCDFjW9I/edit?"&amp;"usp=sharing"",""ตาก!J87"")+IMPORTRANGE(""https://docs.google.com/spreadsheets/d/1IQAWArduLkta9LpYo4a_ULsyqdta6-6aDDiwpUnQT6c/edit?usp=sharing"",""นครสวรรค์!J87"")+IMPORTRANGE(""https://docs.google.com/spreadsheets/d/10s13Sk5xrltsiR-Zkbmk5DwIaDIKO8XlbJAfqy"&amp;"T7Gvg/edit?usp=sharing"",""น่าน!J87"")+IMPORTRANGE(""https://docs.google.com/spreadsheets/d/1uu4nAn4Dbi1XREnLKKotUANlKXa7yCgRcgq8HEzQYW8/edit?usp=sharing"",""พะเยา!J87"")+IMPORTRANGE(""https://docs.google.com/spreadsheets/d/1xfJKIQxVOaPDIICqsflNlLu3JacTDk"&amp;"1FP9RH4phX7mI/edit?usp=sharing"",""พิจิตร!J87"")+IMPORTRANGE(""https://docs.google.com/spreadsheets/d/1JtRfZkJMHtEhI5RdRHxYUG4FIZHqKDpNyIuN7A1Q0_k/edit?usp=sharing"",""พิษณุโลก!J87"")+IMPORTRANGE(""https://docs.google.com/spreadsheets/d/1xlcVZWUNn6SuWm0c3"&amp;"07h32SiGkd9BaeQWlAktfD3KO8/edit?usp=sharing"",""เพชรบูรณ์!J87"")+IMPORTRANGE(""https://docs.google.com/spreadsheets/d/1lOVebEIsI9qjGXl6EX66luk7wiuP2tBaryw-wKvv4e0/edit?usp=sharing"",""แพร่!J87"")+IMPORTRANGE(""https://docs.google.com/spreadsheets/d/1dQrvX"&amp;"0vEcN7Gu0fnZ0B5S90AeR19zth4XlExFBeExMY/edit?usp=sharing"",""แม่ฮ่องสอน!J87"")+IMPORTRANGE(""https://docs.google.com/spreadsheets/d/1DY4XTNNwjluuxqdfdn6qvOSlMRrZqUtmYcZR0ttFiG4/edit?usp=sharing"",""ลำปาง!J87"")+IMPORTRANGE(""https://docs.google.com/spreads"&amp;"heets/d/1ICwG78r0OFT8biBlxnBF8r7she7gNSzOvJ958PWT09c/edit?usp=sharing"",""ลำพูน!J87"")+IMPORTRANGE(""https://docs.google.com/spreadsheets/d/1B0f2xJpZUC6Z0xXnqKlZtEPzsf6L84eP1r1Q15seqRM/edit?usp=sharing"",""สุโขทัย!J87"")+IMPORTRANGE(""https://docs.google."&amp;"com/spreadsheets/d/1v0b9pFQCsKUVExMei7AgY2yQkdeNQvtOssygGsXbiKo/edit?usp=sharing"",""อุตรดิตถ์!J87"")+IMPORTRANGE(""https://docs.google.com/spreadsheets/d/1UsNK1e-WWiCo2PvGqdNfdme4m17_Ezd3J69EeeiQPD0/edit?usp=sharing"",""อุทัยธานี!J87"")"),0)</f>
        <v>0</v>
      </c>
      <c r="K87" s="182">
        <f t="shared" ca="1" si="43"/>
        <v>0</v>
      </c>
      <c r="L87" s="165"/>
      <c r="M87" s="165"/>
      <c r="N87" s="165"/>
      <c r="O87" s="165"/>
      <c r="P87" s="165"/>
    </row>
    <row r="88" spans="1:16" ht="18.75" x14ac:dyDescent="0.25">
      <c r="A88" s="167"/>
      <c r="B88" s="168"/>
      <c r="C88" s="168"/>
      <c r="D88" s="168"/>
      <c r="E88" s="178" t="s">
        <v>40</v>
      </c>
      <c r="F88" s="174"/>
      <c r="G88" s="172"/>
      <c r="H88" s="179" t="s">
        <v>32</v>
      </c>
      <c r="I88" s="180">
        <f ca="1">IFERROR(__xludf.DUMMYFUNCTION("IMPORTRANGE(""https://docs.google.com/spreadsheets/d/1jTcq05yEiRwXcBMLjiodW9e4biSGYWAHcDj22rKWQ3s/edit?usp=sharing"",""กำแพงเพชร!I88"")+IMPORTRANGE(""https://docs.google.com/spreadsheets/d/1KS0zmDSZPk8KnTAbGN-Xk6MtX1YRZD0ldgdt20K4CRk/edit?usp=sharing"","""&amp;"เชียงราย!I88"")+IMPORTRANGE(""https://docs.google.com/spreadsheets/d/1rEDxBtusbi64tE0zunoIbsTVV16HeL0oJ6trHQeQ7K8/edit?usp=sharing"",""เชียงใหม่!I88"")+IMPORTRANGE(""https://docs.google.com/spreadsheets/d/1W6MnUbDkMi6xHnHko_XkFDO9kkuL6Wqyc-6OCDFjW9I/edit?"&amp;"usp=sharing"",""ตาก!I88"")+IMPORTRANGE(""https://docs.google.com/spreadsheets/d/1IQAWArduLkta9LpYo4a_ULsyqdta6-6aDDiwpUnQT6c/edit?usp=sharing"",""นครสวรรค์!I88"")+IMPORTRANGE(""https://docs.google.com/spreadsheets/d/10s13Sk5xrltsiR-Zkbmk5DwIaDIKO8XlbJAfqy"&amp;"T7Gvg/edit?usp=sharing"",""น่าน!I88"")+IMPORTRANGE(""https://docs.google.com/spreadsheets/d/1uu4nAn4Dbi1XREnLKKotUANlKXa7yCgRcgq8HEzQYW8/edit?usp=sharing"",""พะเยา!I88"")+IMPORTRANGE(""https://docs.google.com/spreadsheets/d/1xfJKIQxVOaPDIICqsflNlLu3JacTDk"&amp;"1FP9RH4phX7mI/edit?usp=sharing"",""พิจิตร!I88"")+IMPORTRANGE(""https://docs.google.com/spreadsheets/d/1JtRfZkJMHtEhI5RdRHxYUG4FIZHqKDpNyIuN7A1Q0_k/edit?usp=sharing"",""พิษณุโลก!I88"")+IMPORTRANGE(""https://docs.google.com/spreadsheets/d/1xlcVZWUNn6SuWm0c3"&amp;"07h32SiGkd9BaeQWlAktfD3KO8/edit?usp=sharing"",""เพชรบูรณ์!I88"")+IMPORTRANGE(""https://docs.google.com/spreadsheets/d/1lOVebEIsI9qjGXl6EX66luk7wiuP2tBaryw-wKvv4e0/edit?usp=sharing"",""แพร่!I88"")+IMPORTRANGE(""https://docs.google.com/spreadsheets/d/1dQrvX"&amp;"0vEcN7Gu0fnZ0B5S90AeR19zth4XlExFBeExMY/edit?usp=sharing"",""แม่ฮ่องสอน!I88"")+IMPORTRANGE(""https://docs.google.com/spreadsheets/d/1DY4XTNNwjluuxqdfdn6qvOSlMRrZqUtmYcZR0ttFiG4/edit?usp=sharing"",""ลำปาง!I88"")+IMPORTRANGE(""https://docs.google.com/spreads"&amp;"heets/d/1ICwG78r0OFT8biBlxnBF8r7she7gNSzOvJ958PWT09c/edit?usp=sharing"",""ลำพูน!I88"")+IMPORTRANGE(""https://docs.google.com/spreadsheets/d/1B0f2xJpZUC6Z0xXnqKlZtEPzsf6L84eP1r1Q15seqRM/edit?usp=sharing"",""สุโขทัย!I88"")+IMPORTRANGE(""https://docs.google."&amp;"com/spreadsheets/d/1v0b9pFQCsKUVExMei7AgY2yQkdeNQvtOssygGsXbiKo/edit?usp=sharing"",""อุตรดิตถ์!I88"")+IMPORTRANGE(""https://docs.google.com/spreadsheets/d/1UsNK1e-WWiCo2PvGqdNfdme4m17_Ezd3J69EeeiQPD0/edit?usp=sharing"",""อุทัยธานี!I88"")"),4)</f>
        <v>4</v>
      </c>
      <c r="J88" s="181">
        <f ca="1">IFERROR(__xludf.DUMMYFUNCTION("IMPORTRANGE(""https://docs.google.com/spreadsheets/d/1jTcq05yEiRwXcBMLjiodW9e4biSGYWAHcDj22rKWQ3s/edit?usp=sharing"",""กำแพงเพชร!J88"")+IMPORTRANGE(""https://docs.google.com/spreadsheets/d/1KS0zmDSZPk8KnTAbGN-Xk6MtX1YRZD0ldgdt20K4CRk/edit?usp=sharing"","""&amp;"เชียงราย!J88"")+IMPORTRANGE(""https://docs.google.com/spreadsheets/d/1rEDxBtusbi64tE0zunoIbsTVV16HeL0oJ6trHQeQ7K8/edit?usp=sharing"",""เชียงใหม่!J88"")+IMPORTRANGE(""https://docs.google.com/spreadsheets/d/1W6MnUbDkMi6xHnHko_XkFDO9kkuL6Wqyc-6OCDFjW9I/edit?"&amp;"usp=sharing"",""ตาก!J88"")+IMPORTRANGE(""https://docs.google.com/spreadsheets/d/1IQAWArduLkta9LpYo4a_ULsyqdta6-6aDDiwpUnQT6c/edit?usp=sharing"",""นครสวรรค์!J88"")+IMPORTRANGE(""https://docs.google.com/spreadsheets/d/10s13Sk5xrltsiR-Zkbmk5DwIaDIKO8XlbJAfqy"&amp;"T7Gvg/edit?usp=sharing"",""น่าน!J88"")+IMPORTRANGE(""https://docs.google.com/spreadsheets/d/1uu4nAn4Dbi1XREnLKKotUANlKXa7yCgRcgq8HEzQYW8/edit?usp=sharing"",""พะเยา!J88"")+IMPORTRANGE(""https://docs.google.com/spreadsheets/d/1xfJKIQxVOaPDIICqsflNlLu3JacTDk"&amp;"1FP9RH4phX7mI/edit?usp=sharing"",""พิจิตร!J88"")+IMPORTRANGE(""https://docs.google.com/spreadsheets/d/1JtRfZkJMHtEhI5RdRHxYUG4FIZHqKDpNyIuN7A1Q0_k/edit?usp=sharing"",""พิษณุโลก!J88"")+IMPORTRANGE(""https://docs.google.com/spreadsheets/d/1xlcVZWUNn6SuWm0c3"&amp;"07h32SiGkd9BaeQWlAktfD3KO8/edit?usp=sharing"",""เพชรบูรณ์!J88"")+IMPORTRANGE(""https://docs.google.com/spreadsheets/d/1lOVebEIsI9qjGXl6EX66luk7wiuP2tBaryw-wKvv4e0/edit?usp=sharing"",""แพร่!J88"")+IMPORTRANGE(""https://docs.google.com/spreadsheets/d/1dQrvX"&amp;"0vEcN7Gu0fnZ0B5S90AeR19zth4XlExFBeExMY/edit?usp=sharing"",""แม่ฮ่องสอน!J88"")+IMPORTRANGE(""https://docs.google.com/spreadsheets/d/1DY4XTNNwjluuxqdfdn6qvOSlMRrZqUtmYcZR0ttFiG4/edit?usp=sharing"",""ลำปาง!J88"")+IMPORTRANGE(""https://docs.google.com/spreads"&amp;"heets/d/1ICwG78r0OFT8biBlxnBF8r7she7gNSzOvJ958PWT09c/edit?usp=sharing"",""ลำพูน!J88"")+IMPORTRANGE(""https://docs.google.com/spreadsheets/d/1B0f2xJpZUC6Z0xXnqKlZtEPzsf6L84eP1r1Q15seqRM/edit?usp=sharing"",""สุโขทัย!J88"")+IMPORTRANGE(""https://docs.google."&amp;"com/spreadsheets/d/1v0b9pFQCsKUVExMei7AgY2yQkdeNQvtOssygGsXbiKo/edit?usp=sharing"",""อุตรดิตถ์!J88"")+IMPORTRANGE(""https://docs.google.com/spreadsheets/d/1UsNK1e-WWiCo2PvGqdNfdme4m17_Ezd3J69EeeiQPD0/edit?usp=sharing"",""อุทัยธานี!J88"")"),1)</f>
        <v>1</v>
      </c>
      <c r="K88" s="182">
        <f t="shared" ca="1" si="43"/>
        <v>25</v>
      </c>
      <c r="L88" s="165"/>
      <c r="M88" s="165"/>
      <c r="N88" s="165"/>
      <c r="O88" s="165"/>
      <c r="P88" s="165"/>
    </row>
    <row r="89" spans="1:16" ht="18.75" x14ac:dyDescent="0.25">
      <c r="A89" s="167"/>
      <c r="B89" s="168"/>
      <c r="C89" s="168"/>
      <c r="D89" s="168"/>
      <c r="E89" s="174"/>
      <c r="F89" s="174"/>
      <c r="G89" s="172"/>
      <c r="H89" s="179" t="s">
        <v>33</v>
      </c>
      <c r="I89" s="180">
        <f ca="1">IFERROR(__xludf.DUMMYFUNCTION("IMPORTRANGE(""https://docs.google.com/spreadsheets/d/1jTcq05yEiRwXcBMLjiodW9e4biSGYWAHcDj22rKWQ3s/edit?usp=sharing"",""กำแพงเพชร!I89"")+IMPORTRANGE(""https://docs.google.com/spreadsheets/d/1KS0zmDSZPk8KnTAbGN-Xk6MtX1YRZD0ldgdt20K4CRk/edit?usp=sharing"","""&amp;"เชียงราย!I89"")+IMPORTRANGE(""https://docs.google.com/spreadsheets/d/1rEDxBtusbi64tE0zunoIbsTVV16HeL0oJ6trHQeQ7K8/edit?usp=sharing"",""เชียงใหม่!I89"")+IMPORTRANGE(""https://docs.google.com/spreadsheets/d/1W6MnUbDkMi6xHnHko_XkFDO9kkuL6Wqyc-6OCDFjW9I/edit?"&amp;"usp=sharing"",""ตาก!I89"")+IMPORTRANGE(""https://docs.google.com/spreadsheets/d/1IQAWArduLkta9LpYo4a_ULsyqdta6-6aDDiwpUnQT6c/edit?usp=sharing"",""นครสวรรค์!I89"")+IMPORTRANGE(""https://docs.google.com/spreadsheets/d/10s13Sk5xrltsiR-Zkbmk5DwIaDIKO8XlbJAfqy"&amp;"T7Gvg/edit?usp=sharing"",""น่าน!I89"")+IMPORTRANGE(""https://docs.google.com/spreadsheets/d/1uu4nAn4Dbi1XREnLKKotUANlKXa7yCgRcgq8HEzQYW8/edit?usp=sharing"",""พะเยา!I89"")+IMPORTRANGE(""https://docs.google.com/spreadsheets/d/1xfJKIQxVOaPDIICqsflNlLu3JacTDk"&amp;"1FP9RH4phX7mI/edit?usp=sharing"",""พิจิตร!I89"")+IMPORTRANGE(""https://docs.google.com/spreadsheets/d/1JtRfZkJMHtEhI5RdRHxYUG4FIZHqKDpNyIuN7A1Q0_k/edit?usp=sharing"",""พิษณุโลก!I89"")+IMPORTRANGE(""https://docs.google.com/spreadsheets/d/1xlcVZWUNn6SuWm0c3"&amp;"07h32SiGkd9BaeQWlAktfD3KO8/edit?usp=sharing"",""เพชรบูรณ์!I89"")+IMPORTRANGE(""https://docs.google.com/spreadsheets/d/1lOVebEIsI9qjGXl6EX66luk7wiuP2tBaryw-wKvv4e0/edit?usp=sharing"",""แพร่!I89"")+IMPORTRANGE(""https://docs.google.com/spreadsheets/d/1dQrvX"&amp;"0vEcN7Gu0fnZ0B5S90AeR19zth4XlExFBeExMY/edit?usp=sharing"",""แม่ฮ่องสอน!I89"")+IMPORTRANGE(""https://docs.google.com/spreadsheets/d/1DY4XTNNwjluuxqdfdn6qvOSlMRrZqUtmYcZR0ttFiG4/edit?usp=sharing"",""ลำปาง!I89"")+IMPORTRANGE(""https://docs.google.com/spreads"&amp;"heets/d/1ICwG78r0OFT8biBlxnBF8r7she7gNSzOvJ958PWT09c/edit?usp=sharing"",""ลำพูน!I89"")+IMPORTRANGE(""https://docs.google.com/spreadsheets/d/1B0f2xJpZUC6Z0xXnqKlZtEPzsf6L84eP1r1Q15seqRM/edit?usp=sharing"",""สุโขทัย!I89"")+IMPORTRANGE(""https://docs.google."&amp;"com/spreadsheets/d/1v0b9pFQCsKUVExMei7AgY2yQkdeNQvtOssygGsXbiKo/edit?usp=sharing"",""อุตรดิตถ์!I89"")+IMPORTRANGE(""https://docs.google.com/spreadsheets/d/1UsNK1e-WWiCo2PvGqdNfdme4m17_Ezd3J69EeeiQPD0/edit?usp=sharing"",""อุทัยธานี!I89"")"),157)</f>
        <v>157</v>
      </c>
      <c r="J89" s="181">
        <f ca="1">IFERROR(__xludf.DUMMYFUNCTION("IMPORTRANGE(""https://docs.google.com/spreadsheets/d/1jTcq05yEiRwXcBMLjiodW9e4biSGYWAHcDj22rKWQ3s/edit?usp=sharing"",""กำแพงเพชร!J89"")+IMPORTRANGE(""https://docs.google.com/spreadsheets/d/1KS0zmDSZPk8KnTAbGN-Xk6MtX1YRZD0ldgdt20K4CRk/edit?usp=sharing"","""&amp;"เชียงราย!J89"")+IMPORTRANGE(""https://docs.google.com/spreadsheets/d/1rEDxBtusbi64tE0zunoIbsTVV16HeL0oJ6trHQeQ7K8/edit?usp=sharing"",""เชียงใหม่!J89"")+IMPORTRANGE(""https://docs.google.com/spreadsheets/d/1W6MnUbDkMi6xHnHko_XkFDO9kkuL6Wqyc-6OCDFjW9I/edit?"&amp;"usp=sharing"",""ตาก!J89"")+IMPORTRANGE(""https://docs.google.com/spreadsheets/d/1IQAWArduLkta9LpYo4a_ULsyqdta6-6aDDiwpUnQT6c/edit?usp=sharing"",""นครสวรรค์!J89"")+IMPORTRANGE(""https://docs.google.com/spreadsheets/d/10s13Sk5xrltsiR-Zkbmk5DwIaDIKO8XlbJAfqy"&amp;"T7Gvg/edit?usp=sharing"",""น่าน!J89"")+IMPORTRANGE(""https://docs.google.com/spreadsheets/d/1uu4nAn4Dbi1XREnLKKotUANlKXa7yCgRcgq8HEzQYW8/edit?usp=sharing"",""พะเยา!J89"")+IMPORTRANGE(""https://docs.google.com/spreadsheets/d/1xfJKIQxVOaPDIICqsflNlLu3JacTDk"&amp;"1FP9RH4phX7mI/edit?usp=sharing"",""พิจิตร!J89"")+IMPORTRANGE(""https://docs.google.com/spreadsheets/d/1JtRfZkJMHtEhI5RdRHxYUG4FIZHqKDpNyIuN7A1Q0_k/edit?usp=sharing"",""พิษณุโลก!J89"")+IMPORTRANGE(""https://docs.google.com/spreadsheets/d/1xlcVZWUNn6SuWm0c3"&amp;"07h32SiGkd9BaeQWlAktfD3KO8/edit?usp=sharing"",""เพชรบูรณ์!J89"")+IMPORTRANGE(""https://docs.google.com/spreadsheets/d/1lOVebEIsI9qjGXl6EX66luk7wiuP2tBaryw-wKvv4e0/edit?usp=sharing"",""แพร่!J89"")+IMPORTRANGE(""https://docs.google.com/spreadsheets/d/1dQrvX"&amp;"0vEcN7Gu0fnZ0B5S90AeR19zth4XlExFBeExMY/edit?usp=sharing"",""แม่ฮ่องสอน!J89"")+IMPORTRANGE(""https://docs.google.com/spreadsheets/d/1DY4XTNNwjluuxqdfdn6qvOSlMRrZqUtmYcZR0ttFiG4/edit?usp=sharing"",""ลำปาง!J89"")+IMPORTRANGE(""https://docs.google.com/spreads"&amp;"heets/d/1ICwG78r0OFT8biBlxnBF8r7she7gNSzOvJ958PWT09c/edit?usp=sharing"",""ลำพูน!J89"")+IMPORTRANGE(""https://docs.google.com/spreadsheets/d/1B0f2xJpZUC6Z0xXnqKlZtEPzsf6L84eP1r1Q15seqRM/edit?usp=sharing"",""สุโขทัย!J89"")+IMPORTRANGE(""https://docs.google."&amp;"com/spreadsheets/d/1v0b9pFQCsKUVExMei7AgY2yQkdeNQvtOssygGsXbiKo/edit?usp=sharing"",""อุตรดิตถ์!J89"")+IMPORTRANGE(""https://docs.google.com/spreadsheets/d/1UsNK1e-WWiCo2PvGqdNfdme4m17_Ezd3J69EeeiQPD0/edit?usp=sharing"",""อุทัยธานี!J89"")"),30)</f>
        <v>30</v>
      </c>
      <c r="K89" s="182">
        <f t="shared" ca="1" si="43"/>
        <v>19.108280254777071</v>
      </c>
      <c r="L89" s="165"/>
      <c r="M89" s="165"/>
      <c r="N89" s="165"/>
      <c r="O89" s="165"/>
      <c r="P89" s="165"/>
    </row>
    <row r="90" spans="1:16" ht="18.75" x14ac:dyDescent="0.25">
      <c r="A90" s="167"/>
      <c r="B90" s="168"/>
      <c r="C90" s="168"/>
      <c r="D90" s="173" t="s">
        <v>41</v>
      </c>
      <c r="E90" s="174"/>
      <c r="F90" s="174"/>
      <c r="G90" s="172"/>
      <c r="H90" s="183" t="s">
        <v>32</v>
      </c>
      <c r="I90" s="180">
        <f ca="1">IFERROR(__xludf.DUMMYFUNCTION("IMPORTRANGE(""https://docs.google.com/spreadsheets/d/1jTcq05yEiRwXcBMLjiodW9e4biSGYWAHcDj22rKWQ3s/edit?usp=sharing"",""กำแพงเพชร!I90"")+IMPORTRANGE(""https://docs.google.com/spreadsheets/d/1KS0zmDSZPk8KnTAbGN-Xk6MtX1YRZD0ldgdt20K4CRk/edit?usp=sharing"","""&amp;"เชียงราย!I90"")+IMPORTRANGE(""https://docs.google.com/spreadsheets/d/1rEDxBtusbi64tE0zunoIbsTVV16HeL0oJ6trHQeQ7K8/edit?usp=sharing"",""เชียงใหม่!I90"")+IMPORTRANGE(""https://docs.google.com/spreadsheets/d/1W6MnUbDkMi6xHnHko_XkFDO9kkuL6Wqyc-6OCDFjW9I/edit?"&amp;"usp=sharing"",""ตาก!I90"")+IMPORTRANGE(""https://docs.google.com/spreadsheets/d/1IQAWArduLkta9LpYo4a_ULsyqdta6-6aDDiwpUnQT6c/edit?usp=sharing"",""นครสวรรค์!I90"")+IMPORTRANGE(""https://docs.google.com/spreadsheets/d/10s13Sk5xrltsiR-Zkbmk5DwIaDIKO8XlbJAfqy"&amp;"T7Gvg/edit?usp=sharing"",""น่าน!I90"")+IMPORTRANGE(""https://docs.google.com/spreadsheets/d/1uu4nAn4Dbi1XREnLKKotUANlKXa7yCgRcgq8HEzQYW8/edit?usp=sharing"",""พะเยา!I90"")+IMPORTRANGE(""https://docs.google.com/spreadsheets/d/1xfJKIQxVOaPDIICqsflNlLu3JacTDk"&amp;"1FP9RH4phX7mI/edit?usp=sharing"",""พิจิตร!I90"")+IMPORTRANGE(""https://docs.google.com/spreadsheets/d/1JtRfZkJMHtEhI5RdRHxYUG4FIZHqKDpNyIuN7A1Q0_k/edit?usp=sharing"",""พิษณุโลก!I90"")+IMPORTRANGE(""https://docs.google.com/spreadsheets/d/1xlcVZWUNn6SuWm0c3"&amp;"07h32SiGkd9BaeQWlAktfD3KO8/edit?usp=sharing"",""เพชรบูรณ์!I90"")+IMPORTRANGE(""https://docs.google.com/spreadsheets/d/1lOVebEIsI9qjGXl6EX66luk7wiuP2tBaryw-wKvv4e0/edit?usp=sharing"",""แพร่!I90"")+IMPORTRANGE(""https://docs.google.com/spreadsheets/d/1dQrvX"&amp;"0vEcN7Gu0fnZ0B5S90AeR19zth4XlExFBeExMY/edit?usp=sharing"",""แม่ฮ่องสอน!I90"")+IMPORTRANGE(""https://docs.google.com/spreadsheets/d/1DY4XTNNwjluuxqdfdn6qvOSlMRrZqUtmYcZR0ttFiG4/edit?usp=sharing"",""ลำปาง!I90"")+IMPORTRANGE(""https://docs.google.com/spreads"&amp;"heets/d/1ICwG78r0OFT8biBlxnBF8r7she7gNSzOvJ958PWT09c/edit?usp=sharing"",""ลำพูน!I90"")+IMPORTRANGE(""https://docs.google.com/spreadsheets/d/1B0f2xJpZUC6Z0xXnqKlZtEPzsf6L84eP1r1Q15seqRM/edit?usp=sharing"",""สุโขทัย!I90"")+IMPORTRANGE(""https://docs.google."&amp;"com/spreadsheets/d/1v0b9pFQCsKUVExMei7AgY2yQkdeNQvtOssygGsXbiKo/edit?usp=sharing"",""อุตรดิตถ์!I90"")+IMPORTRANGE(""https://docs.google.com/spreadsheets/d/1UsNK1e-WWiCo2PvGqdNfdme4m17_Ezd3J69EeeiQPD0/edit?usp=sharing"",""อุทัยธานี!I90"")"),4)</f>
        <v>4</v>
      </c>
      <c r="J90" s="181">
        <f ca="1">IFERROR(__xludf.DUMMYFUNCTION("IMPORTRANGE(""https://docs.google.com/spreadsheets/d/1jTcq05yEiRwXcBMLjiodW9e4biSGYWAHcDj22rKWQ3s/edit?usp=sharing"",""กำแพงเพชร!J90"")+IMPORTRANGE(""https://docs.google.com/spreadsheets/d/1KS0zmDSZPk8KnTAbGN-Xk6MtX1YRZD0ldgdt20K4CRk/edit?usp=sharing"","""&amp;"เชียงราย!J90"")+IMPORTRANGE(""https://docs.google.com/spreadsheets/d/1rEDxBtusbi64tE0zunoIbsTVV16HeL0oJ6trHQeQ7K8/edit?usp=sharing"",""เชียงใหม่!J90"")+IMPORTRANGE(""https://docs.google.com/spreadsheets/d/1W6MnUbDkMi6xHnHko_XkFDO9kkuL6Wqyc-6OCDFjW9I/edit?"&amp;"usp=sharing"",""ตาก!J90"")+IMPORTRANGE(""https://docs.google.com/spreadsheets/d/1IQAWArduLkta9LpYo4a_ULsyqdta6-6aDDiwpUnQT6c/edit?usp=sharing"",""นครสวรรค์!J90"")+IMPORTRANGE(""https://docs.google.com/spreadsheets/d/10s13Sk5xrltsiR-Zkbmk5DwIaDIKO8XlbJAfqy"&amp;"T7Gvg/edit?usp=sharing"",""น่าน!J90"")+IMPORTRANGE(""https://docs.google.com/spreadsheets/d/1uu4nAn4Dbi1XREnLKKotUANlKXa7yCgRcgq8HEzQYW8/edit?usp=sharing"",""พะเยา!J90"")+IMPORTRANGE(""https://docs.google.com/spreadsheets/d/1xfJKIQxVOaPDIICqsflNlLu3JacTDk"&amp;"1FP9RH4phX7mI/edit?usp=sharing"",""พิจิตร!J90"")+IMPORTRANGE(""https://docs.google.com/spreadsheets/d/1JtRfZkJMHtEhI5RdRHxYUG4FIZHqKDpNyIuN7A1Q0_k/edit?usp=sharing"",""พิษณุโลก!J90"")+IMPORTRANGE(""https://docs.google.com/spreadsheets/d/1xlcVZWUNn6SuWm0c3"&amp;"07h32SiGkd9BaeQWlAktfD3KO8/edit?usp=sharing"",""เพชรบูรณ์!J90"")+IMPORTRANGE(""https://docs.google.com/spreadsheets/d/1lOVebEIsI9qjGXl6EX66luk7wiuP2tBaryw-wKvv4e0/edit?usp=sharing"",""แพร่!J90"")+IMPORTRANGE(""https://docs.google.com/spreadsheets/d/1dQrvX"&amp;"0vEcN7Gu0fnZ0B5S90AeR19zth4XlExFBeExMY/edit?usp=sharing"",""แม่ฮ่องสอน!J90"")+IMPORTRANGE(""https://docs.google.com/spreadsheets/d/1DY4XTNNwjluuxqdfdn6qvOSlMRrZqUtmYcZR0ttFiG4/edit?usp=sharing"",""ลำปาง!J90"")+IMPORTRANGE(""https://docs.google.com/spreads"&amp;"heets/d/1ICwG78r0OFT8biBlxnBF8r7she7gNSzOvJ958PWT09c/edit?usp=sharing"",""ลำพูน!J90"")+IMPORTRANGE(""https://docs.google.com/spreadsheets/d/1B0f2xJpZUC6Z0xXnqKlZtEPzsf6L84eP1r1Q15seqRM/edit?usp=sharing"",""สุโขทัย!J90"")+IMPORTRANGE(""https://docs.google."&amp;"com/spreadsheets/d/1v0b9pFQCsKUVExMei7AgY2yQkdeNQvtOssygGsXbiKo/edit?usp=sharing"",""อุตรดิตถ์!J90"")+IMPORTRANGE(""https://docs.google.com/spreadsheets/d/1UsNK1e-WWiCo2PvGqdNfdme4m17_Ezd3J69EeeiQPD0/edit?usp=sharing"",""อุทัยธานี!J90"")"),1)</f>
        <v>1</v>
      </c>
      <c r="K90" s="182">
        <f t="shared" ca="1" si="43"/>
        <v>25</v>
      </c>
      <c r="L90" s="165"/>
      <c r="M90" s="165"/>
      <c r="N90" s="165"/>
      <c r="O90" s="165"/>
      <c r="P90" s="165"/>
    </row>
    <row r="91" spans="1:16" ht="19.5" x14ac:dyDescent="0.3">
      <c r="A91" s="146" t="s">
        <v>42</v>
      </c>
      <c r="B91" s="147"/>
      <c r="C91" s="148"/>
      <c r="D91" s="147"/>
      <c r="E91" s="147"/>
      <c r="F91" s="147"/>
      <c r="G91" s="149"/>
      <c r="H91" s="149"/>
      <c r="I91" s="150"/>
      <c r="J91" s="150"/>
      <c r="K91" s="151"/>
      <c r="L91" s="151"/>
      <c r="M91" s="151"/>
      <c r="N91" s="151"/>
      <c r="O91" s="151"/>
      <c r="P91" s="151"/>
    </row>
    <row r="92" spans="1:16" ht="19.5" x14ac:dyDescent="0.3">
      <c r="A92" s="152"/>
      <c r="B92" s="153" t="s">
        <v>43</v>
      </c>
      <c r="C92" s="41"/>
      <c r="D92" s="154"/>
      <c r="E92" s="41"/>
      <c r="F92" s="41"/>
      <c r="G92" s="44"/>
      <c r="H92" s="155" t="s">
        <v>44</v>
      </c>
      <c r="I92" s="156">
        <f t="shared" ref="I92:J92" ca="1" si="45">I108</f>
        <v>30</v>
      </c>
      <c r="J92" s="156">
        <f t="shared" ca="1" si="45"/>
        <v>0</v>
      </c>
      <c r="K92" s="48">
        <f t="shared" ref="K92:K93" ca="1" si="46">IF(I92&gt;0,J92*100/I92,0)</f>
        <v>0</v>
      </c>
      <c r="L92" s="47"/>
      <c r="M92" s="47"/>
      <c r="N92" s="47"/>
      <c r="O92" s="47"/>
      <c r="P92" s="47"/>
    </row>
    <row r="93" spans="1:16" ht="19.5" x14ac:dyDescent="0.3">
      <c r="A93" s="152"/>
      <c r="B93" s="41"/>
      <c r="C93" s="41"/>
      <c r="D93" s="154"/>
      <c r="E93" s="41"/>
      <c r="F93" s="41"/>
      <c r="G93" s="44"/>
      <c r="H93" s="155" t="s">
        <v>33</v>
      </c>
      <c r="I93" s="156">
        <f t="shared" ref="I93:J93" ca="1" si="47">I109</f>
        <v>10</v>
      </c>
      <c r="J93" s="156">
        <f t="shared" ca="1" si="47"/>
        <v>0</v>
      </c>
      <c r="K93" s="48">
        <f t="shared" ca="1" si="46"/>
        <v>0</v>
      </c>
      <c r="L93" s="47"/>
      <c r="M93" s="47"/>
      <c r="N93" s="47"/>
      <c r="O93" s="47"/>
      <c r="P93" s="47"/>
    </row>
    <row r="94" spans="1:16" ht="19.5" x14ac:dyDescent="0.3">
      <c r="A94" s="157"/>
      <c r="B94" s="53"/>
      <c r="C94" s="158" t="s">
        <v>16</v>
      </c>
      <c r="D94" s="159" t="s">
        <v>17</v>
      </c>
      <c r="E94" s="53"/>
      <c r="F94" s="53"/>
      <c r="G94" s="55"/>
      <c r="H94" s="160" t="s">
        <v>12</v>
      </c>
      <c r="I94" s="57"/>
      <c r="J94" s="57"/>
      <c r="K94" s="58"/>
      <c r="L94" s="161">
        <f t="shared" ref="L94:N94" ca="1" si="48">L95+L96</f>
        <v>136300</v>
      </c>
      <c r="M94" s="161">
        <f t="shared" ca="1" si="48"/>
        <v>112000</v>
      </c>
      <c r="N94" s="161">
        <f t="shared" ca="1" si="48"/>
        <v>40240</v>
      </c>
      <c r="O94" s="161">
        <f t="shared" ref="O94:O102" ca="1" si="49">IF(L94&gt;0,N94*100/L94,0)</f>
        <v>29.523110785033015</v>
      </c>
      <c r="P94" s="161">
        <f t="shared" ref="P94:P102" ca="1" si="50">IF(M94&gt;0,N94*100/M94,0)</f>
        <v>35.928571428571431</v>
      </c>
    </row>
    <row r="95" spans="1:16" ht="18.75" x14ac:dyDescent="0.25">
      <c r="A95" s="157"/>
      <c r="B95" s="53"/>
      <c r="C95" s="53"/>
      <c r="D95" s="53"/>
      <c r="E95" s="60" t="s">
        <v>18</v>
      </c>
      <c r="F95" s="53"/>
      <c r="G95" s="55"/>
      <c r="H95" s="162" t="s">
        <v>12</v>
      </c>
      <c r="I95" s="57"/>
      <c r="J95" s="57"/>
      <c r="K95" s="58"/>
      <c r="L95" s="59">
        <f t="shared" ref="L95:N95" ca="1" si="51">L98+L101</f>
        <v>0</v>
      </c>
      <c r="M95" s="59">
        <f t="shared" ca="1" si="51"/>
        <v>0</v>
      </c>
      <c r="N95" s="59">
        <f t="shared" ca="1" si="51"/>
        <v>0</v>
      </c>
      <c r="O95" s="59">
        <f t="shared" ca="1" si="49"/>
        <v>0</v>
      </c>
      <c r="P95" s="59">
        <f t="shared" ca="1" si="50"/>
        <v>0</v>
      </c>
    </row>
    <row r="96" spans="1:16" ht="18.75" x14ac:dyDescent="0.25">
      <c r="A96" s="157"/>
      <c r="B96" s="53"/>
      <c r="C96" s="53"/>
      <c r="D96" s="53"/>
      <c r="E96" s="60" t="s">
        <v>19</v>
      </c>
      <c r="F96" s="53"/>
      <c r="G96" s="55"/>
      <c r="H96" s="162" t="s">
        <v>12</v>
      </c>
      <c r="I96" s="57"/>
      <c r="J96" s="57"/>
      <c r="K96" s="58"/>
      <c r="L96" s="59">
        <f t="shared" ref="L96:N96" ca="1" si="52">L99+L102</f>
        <v>136300</v>
      </c>
      <c r="M96" s="59">
        <f t="shared" ca="1" si="52"/>
        <v>112000</v>
      </c>
      <c r="N96" s="59">
        <f t="shared" ca="1" si="52"/>
        <v>40240</v>
      </c>
      <c r="O96" s="59">
        <f t="shared" ca="1" si="49"/>
        <v>29.523110785033015</v>
      </c>
      <c r="P96" s="59">
        <f t="shared" ca="1" si="50"/>
        <v>35.928571428571431</v>
      </c>
    </row>
    <row r="97" spans="1:16" ht="18.75" x14ac:dyDescent="0.25">
      <c r="A97" s="157"/>
      <c r="B97" s="53"/>
      <c r="C97" s="53"/>
      <c r="D97" s="54" t="s">
        <v>20</v>
      </c>
      <c r="E97" s="53"/>
      <c r="F97" s="53"/>
      <c r="G97" s="55"/>
      <c r="H97" s="163" t="s">
        <v>12</v>
      </c>
      <c r="I97" s="164"/>
      <c r="J97" s="164"/>
      <c r="K97" s="165"/>
      <c r="L97" s="59">
        <f t="shared" ref="L97:N97" ca="1" si="53">L98+L99</f>
        <v>136300</v>
      </c>
      <c r="M97" s="59">
        <f t="shared" ca="1" si="53"/>
        <v>112000</v>
      </c>
      <c r="N97" s="59">
        <f t="shared" ca="1" si="53"/>
        <v>40240</v>
      </c>
      <c r="O97" s="59">
        <f t="shared" ca="1" si="49"/>
        <v>29.523110785033015</v>
      </c>
      <c r="P97" s="59">
        <f t="shared" ca="1" si="50"/>
        <v>35.928571428571431</v>
      </c>
    </row>
    <row r="98" spans="1:16" ht="18.75" x14ac:dyDescent="0.25">
      <c r="A98" s="157"/>
      <c r="B98" s="53"/>
      <c r="C98" s="53"/>
      <c r="D98" s="53"/>
      <c r="E98" s="60" t="s">
        <v>34</v>
      </c>
      <c r="F98" s="53"/>
      <c r="G98" s="55"/>
      <c r="H98" s="163" t="s">
        <v>12</v>
      </c>
      <c r="I98" s="164"/>
      <c r="J98" s="164"/>
      <c r="K98" s="165"/>
      <c r="L98" s="59">
        <f ca="1">IFERROR(__xludf.DUMMYFUNCTION("IMPORTRANGE(""https://docs.google.com/spreadsheets/d/1jTcq05yEiRwXcBMLjiodW9e4biSGYWAHcDj22rKWQ3s/edit?usp=sharing"",""กำแพงเพชร!L98"")+IMPORTRANGE(""https://docs.google.com/spreadsheets/d/1KS0zmDSZPk8KnTAbGN-Xk6MtX1YRZD0ldgdt20K4CRk/edit?usp=sharing"","""&amp;"เชียงราย!L98"")+IMPORTRANGE(""https://docs.google.com/spreadsheets/d/1rEDxBtusbi64tE0zunoIbsTVV16HeL0oJ6trHQeQ7K8/edit?usp=sharing"",""เชียงใหม่!L98"")+IMPORTRANGE(""https://docs.google.com/spreadsheets/d/1W6MnUbDkMi6xHnHko_XkFDO9kkuL6Wqyc-6OCDFjW9I/edit?"&amp;"usp=sharing"",""ตาก!L98"")+IMPORTRANGE(""https://docs.google.com/spreadsheets/d/1IQAWArduLkta9LpYo4a_ULsyqdta6-6aDDiwpUnQT6c/edit?usp=sharing"",""นครสวรรค์!L98"")+IMPORTRANGE(""https://docs.google.com/spreadsheets/d/10s13Sk5xrltsiR-Zkbmk5DwIaDIKO8XlbJAfqy"&amp;"T7Gvg/edit?usp=sharing"",""น่าน!L98"")+IMPORTRANGE(""https://docs.google.com/spreadsheets/d/1uu4nAn4Dbi1XREnLKKotUANlKXa7yCgRcgq8HEzQYW8/edit?usp=sharing"",""พะเยา!L98"")+IMPORTRANGE(""https://docs.google.com/spreadsheets/d/1xfJKIQxVOaPDIICqsflNlLu3JacTDk"&amp;"1FP9RH4phX7mI/edit?usp=sharing"",""พิจิตร!L98"")+IMPORTRANGE(""https://docs.google.com/spreadsheets/d/1JtRfZkJMHtEhI5RdRHxYUG4FIZHqKDpNyIuN7A1Q0_k/edit?usp=sharing"",""พิษณุโลก!L98"")+IMPORTRANGE(""https://docs.google.com/spreadsheets/d/1xlcVZWUNn6SuWm0c3"&amp;"07h32SiGkd9BaeQWlAktfD3KO8/edit?usp=sharing"",""เพชรบูรณ์!L98"")+IMPORTRANGE(""https://docs.google.com/spreadsheets/d/1lOVebEIsI9qjGXl6EX66luk7wiuP2tBaryw-wKvv4e0/edit?usp=sharing"",""แพร่!L98"")+IMPORTRANGE(""https://docs.google.com/spreadsheets/d/1dQrvX"&amp;"0vEcN7Gu0fnZ0B5S90AeR19zth4XlExFBeExMY/edit?usp=sharing"",""แม่ฮ่องสอน!L98"")+IMPORTRANGE(""https://docs.google.com/spreadsheets/d/1DY4XTNNwjluuxqdfdn6qvOSlMRrZqUtmYcZR0ttFiG4/edit?usp=sharing"",""ลำปาง!L98"")+IMPORTRANGE(""https://docs.google.com/spreads"&amp;"heets/d/1ICwG78r0OFT8biBlxnBF8r7she7gNSzOvJ958PWT09c/edit?usp=sharing"",""ลำพูน!L98"")+IMPORTRANGE(""https://docs.google.com/spreadsheets/d/1B0f2xJpZUC6Z0xXnqKlZtEPzsf6L84eP1r1Q15seqRM/edit?usp=sharing"",""สุโขทัย!L98"")+IMPORTRANGE(""https://docs.google."&amp;"com/spreadsheets/d/1v0b9pFQCsKUVExMei7AgY2yQkdeNQvtOssygGsXbiKo/edit?usp=sharing"",""อุตรดิตถ์!L98"")+IMPORTRANGE(""https://docs.google.com/spreadsheets/d/1UsNK1e-WWiCo2PvGqdNfdme4m17_Ezd3J69EeeiQPD0/edit?usp=sharing"",""อุทัยธานี!L98"")"),0)</f>
        <v>0</v>
      </c>
      <c r="M98" s="59">
        <f ca="1">IFERROR(__xludf.DUMMYFUNCTION("IMPORTRANGE(""https://docs.google.com/spreadsheets/d/1jTcq05yEiRwXcBMLjiodW9e4biSGYWAHcDj22rKWQ3s/edit?usp=sharing"",""กำแพงเพชร!M98"")+IMPORTRANGE(""https://docs.google.com/spreadsheets/d/1KS0zmDSZPk8KnTAbGN-Xk6MtX1YRZD0ldgdt20K4CRk/edit?usp=sharing"","""&amp;"เชียงราย!M98"")+IMPORTRANGE(""https://docs.google.com/spreadsheets/d/1rEDxBtusbi64tE0zunoIbsTVV16HeL0oJ6trHQeQ7K8/edit?usp=sharing"",""เชียงใหม่!M98"")+IMPORTRANGE(""https://docs.google.com/spreadsheets/d/1W6MnUbDkMi6xHnHko_XkFDO9kkuL6Wqyc-6OCDFjW9I/edit?"&amp;"usp=sharing"",""ตาก!M98"")+IMPORTRANGE(""https://docs.google.com/spreadsheets/d/1IQAWArduLkta9LpYo4a_ULsyqdta6-6aDDiwpUnQT6c/edit?usp=sharing"",""นครสวรรค์!M98"")+IMPORTRANGE(""https://docs.google.com/spreadsheets/d/10s13Sk5xrltsiR-Zkbmk5DwIaDIKO8XlbJAfqy"&amp;"T7Gvg/edit?usp=sharing"",""น่าน!M98"")+IMPORTRANGE(""https://docs.google.com/spreadsheets/d/1uu4nAn4Dbi1XREnLKKotUANlKXa7yCgRcgq8HEzQYW8/edit?usp=sharing"",""พะเยา!M98"")+IMPORTRANGE(""https://docs.google.com/spreadsheets/d/1xfJKIQxVOaPDIICqsflNlLu3JacTDk"&amp;"1FP9RH4phX7mI/edit?usp=sharing"",""พิจิตร!M98"")+IMPORTRANGE(""https://docs.google.com/spreadsheets/d/1JtRfZkJMHtEhI5RdRHxYUG4FIZHqKDpNyIuN7A1Q0_k/edit?usp=sharing"",""พิษณุโลก!M98"")+IMPORTRANGE(""https://docs.google.com/spreadsheets/d/1xlcVZWUNn6SuWm0c3"&amp;"07h32SiGkd9BaeQWlAktfD3KO8/edit?usp=sharing"",""เพชรบูรณ์!M98"")+IMPORTRANGE(""https://docs.google.com/spreadsheets/d/1lOVebEIsI9qjGXl6EX66luk7wiuP2tBaryw-wKvv4e0/edit?usp=sharing"",""แพร่!M98"")+IMPORTRANGE(""https://docs.google.com/spreadsheets/d/1dQrvX"&amp;"0vEcN7Gu0fnZ0B5S90AeR19zth4XlExFBeExMY/edit?usp=sharing"",""แม่ฮ่องสอน!M98"")+IMPORTRANGE(""https://docs.google.com/spreadsheets/d/1DY4XTNNwjluuxqdfdn6qvOSlMRrZqUtmYcZR0ttFiG4/edit?usp=sharing"",""ลำปาง!M98"")+IMPORTRANGE(""https://docs.google.com/spreads"&amp;"heets/d/1ICwG78r0OFT8biBlxnBF8r7she7gNSzOvJ958PWT09c/edit?usp=sharing"",""ลำพูน!M98"")+IMPORTRANGE(""https://docs.google.com/spreadsheets/d/1B0f2xJpZUC6Z0xXnqKlZtEPzsf6L84eP1r1Q15seqRM/edit?usp=sharing"",""สุโขทัย!M98"")+IMPORTRANGE(""https://docs.google."&amp;"com/spreadsheets/d/1v0b9pFQCsKUVExMei7AgY2yQkdeNQvtOssygGsXbiKo/edit?usp=sharing"",""อุตรดิตถ์!M98"")+IMPORTRANGE(""https://docs.google.com/spreadsheets/d/1UsNK1e-WWiCo2PvGqdNfdme4m17_Ezd3J69EeeiQPD0/edit?usp=sharing"",""อุทัยธานี!M98"")"),0)</f>
        <v>0</v>
      </c>
      <c r="N98" s="59">
        <f ca="1">IFERROR(__xludf.DUMMYFUNCTION("IMPORTRANGE(""https://docs.google.com/spreadsheets/d/1jTcq05yEiRwXcBMLjiodW9e4biSGYWAHcDj22rKWQ3s/edit?usp=sharing"",""กำแพงเพชร!N98"")+IMPORTRANGE(""https://docs.google.com/spreadsheets/d/1KS0zmDSZPk8KnTAbGN-Xk6MtX1YRZD0ldgdt20K4CRk/edit?usp=sharing"","""&amp;"เชียงราย!N98"")+IMPORTRANGE(""https://docs.google.com/spreadsheets/d/1rEDxBtusbi64tE0zunoIbsTVV16HeL0oJ6trHQeQ7K8/edit?usp=sharing"",""เชียงใหม่!N98"")+IMPORTRANGE(""https://docs.google.com/spreadsheets/d/1W6MnUbDkMi6xHnHko_XkFDO9kkuL6Wqyc-6OCDFjW9I/edit?"&amp;"usp=sharing"",""ตาก!N98"")+IMPORTRANGE(""https://docs.google.com/spreadsheets/d/1IQAWArduLkta9LpYo4a_ULsyqdta6-6aDDiwpUnQT6c/edit?usp=sharing"",""นครสวรรค์!N98"")+IMPORTRANGE(""https://docs.google.com/spreadsheets/d/10s13Sk5xrltsiR-Zkbmk5DwIaDIKO8XlbJAfqy"&amp;"T7Gvg/edit?usp=sharing"",""น่าน!N98"")+IMPORTRANGE(""https://docs.google.com/spreadsheets/d/1uu4nAn4Dbi1XREnLKKotUANlKXa7yCgRcgq8HEzQYW8/edit?usp=sharing"",""พะเยา!N98"")+IMPORTRANGE(""https://docs.google.com/spreadsheets/d/1xfJKIQxVOaPDIICqsflNlLu3JacTDk"&amp;"1FP9RH4phX7mI/edit?usp=sharing"",""พิจิตร!N98"")+IMPORTRANGE(""https://docs.google.com/spreadsheets/d/1JtRfZkJMHtEhI5RdRHxYUG4FIZHqKDpNyIuN7A1Q0_k/edit?usp=sharing"",""พิษณุโลก!N98"")+IMPORTRANGE(""https://docs.google.com/spreadsheets/d/1xlcVZWUNn6SuWm0c3"&amp;"07h32SiGkd9BaeQWlAktfD3KO8/edit?usp=sharing"",""เพชรบูรณ์!N98"")+IMPORTRANGE(""https://docs.google.com/spreadsheets/d/1lOVebEIsI9qjGXl6EX66luk7wiuP2tBaryw-wKvv4e0/edit?usp=sharing"",""แพร่!N98"")+IMPORTRANGE(""https://docs.google.com/spreadsheets/d/1dQrvX"&amp;"0vEcN7Gu0fnZ0B5S90AeR19zth4XlExFBeExMY/edit?usp=sharing"",""แม่ฮ่องสอน!N98"")+IMPORTRANGE(""https://docs.google.com/spreadsheets/d/1DY4XTNNwjluuxqdfdn6qvOSlMRrZqUtmYcZR0ttFiG4/edit?usp=sharing"",""ลำปาง!N98"")+IMPORTRANGE(""https://docs.google.com/spreads"&amp;"heets/d/1ICwG78r0OFT8biBlxnBF8r7she7gNSzOvJ958PWT09c/edit?usp=sharing"",""ลำพูน!N98"")+IMPORTRANGE(""https://docs.google.com/spreadsheets/d/1B0f2xJpZUC6Z0xXnqKlZtEPzsf6L84eP1r1Q15seqRM/edit?usp=sharing"",""สุโขทัย!N98"")+IMPORTRANGE(""https://docs.google."&amp;"com/spreadsheets/d/1v0b9pFQCsKUVExMei7AgY2yQkdeNQvtOssygGsXbiKo/edit?usp=sharing"",""อุตรดิตถ์!N98"")+IMPORTRANGE(""https://docs.google.com/spreadsheets/d/1UsNK1e-WWiCo2PvGqdNfdme4m17_Ezd3J69EeeiQPD0/edit?usp=sharing"",""อุทัยธานี!N98"")"),0)</f>
        <v>0</v>
      </c>
      <c r="O98" s="59">
        <f t="shared" ca="1" si="49"/>
        <v>0</v>
      </c>
      <c r="P98" s="59">
        <f t="shared" ca="1" si="50"/>
        <v>0</v>
      </c>
    </row>
    <row r="99" spans="1:16" ht="18.75" x14ac:dyDescent="0.25">
      <c r="A99" s="157"/>
      <c r="B99" s="53"/>
      <c r="C99" s="53"/>
      <c r="D99" s="53"/>
      <c r="E99" s="60" t="s">
        <v>35</v>
      </c>
      <c r="F99" s="53"/>
      <c r="G99" s="55"/>
      <c r="H99" s="163" t="s">
        <v>12</v>
      </c>
      <c r="I99" s="164"/>
      <c r="J99" s="164"/>
      <c r="K99" s="165"/>
      <c r="L99" s="59">
        <f ca="1">IFERROR(__xludf.DUMMYFUNCTION("IMPORTRANGE(""https://docs.google.com/spreadsheets/d/1jTcq05yEiRwXcBMLjiodW9e4biSGYWAHcDj22rKWQ3s/edit?usp=sharing"",""กำแพงเพชร!L99"")+IMPORTRANGE(""https://docs.google.com/spreadsheets/d/1KS0zmDSZPk8KnTAbGN-Xk6MtX1YRZD0ldgdt20K4CRk/edit?usp=sharing"","""&amp;"เชียงราย!L99"")+IMPORTRANGE(""https://docs.google.com/spreadsheets/d/1rEDxBtusbi64tE0zunoIbsTVV16HeL0oJ6trHQeQ7K8/edit?usp=sharing"",""เชียงใหม่!L99"")+IMPORTRANGE(""https://docs.google.com/spreadsheets/d/1W6MnUbDkMi6xHnHko_XkFDO9kkuL6Wqyc-6OCDFjW9I/edit?"&amp;"usp=sharing"",""ตาก!L99"")+IMPORTRANGE(""https://docs.google.com/spreadsheets/d/1IQAWArduLkta9LpYo4a_ULsyqdta6-6aDDiwpUnQT6c/edit?usp=sharing"",""นครสวรรค์!L99"")+IMPORTRANGE(""https://docs.google.com/spreadsheets/d/10s13Sk5xrltsiR-Zkbmk5DwIaDIKO8XlbJAfqy"&amp;"T7Gvg/edit?usp=sharing"",""น่าน!L99"")+IMPORTRANGE(""https://docs.google.com/spreadsheets/d/1uu4nAn4Dbi1XREnLKKotUANlKXa7yCgRcgq8HEzQYW8/edit?usp=sharing"",""พะเยา!L99"")+IMPORTRANGE(""https://docs.google.com/spreadsheets/d/1xfJKIQxVOaPDIICqsflNlLu3JacTDk"&amp;"1FP9RH4phX7mI/edit?usp=sharing"",""พิจิตร!L99"")+IMPORTRANGE(""https://docs.google.com/spreadsheets/d/1JtRfZkJMHtEhI5RdRHxYUG4FIZHqKDpNyIuN7A1Q0_k/edit?usp=sharing"",""พิษณุโลก!L99"")+IMPORTRANGE(""https://docs.google.com/spreadsheets/d/1xlcVZWUNn6SuWm0c3"&amp;"07h32SiGkd9BaeQWlAktfD3KO8/edit?usp=sharing"",""เพชรบูรณ์!L99"")+IMPORTRANGE(""https://docs.google.com/spreadsheets/d/1lOVebEIsI9qjGXl6EX66luk7wiuP2tBaryw-wKvv4e0/edit?usp=sharing"",""แพร่!L99"")+IMPORTRANGE(""https://docs.google.com/spreadsheets/d/1dQrvX"&amp;"0vEcN7Gu0fnZ0B5S90AeR19zth4XlExFBeExMY/edit?usp=sharing"",""แม่ฮ่องสอน!L99"")+IMPORTRANGE(""https://docs.google.com/spreadsheets/d/1DY4XTNNwjluuxqdfdn6qvOSlMRrZqUtmYcZR0ttFiG4/edit?usp=sharing"",""ลำปาง!L99"")+IMPORTRANGE(""https://docs.google.com/spreads"&amp;"heets/d/1ICwG78r0OFT8biBlxnBF8r7she7gNSzOvJ958PWT09c/edit?usp=sharing"",""ลำพูน!L99"")+IMPORTRANGE(""https://docs.google.com/spreadsheets/d/1B0f2xJpZUC6Z0xXnqKlZtEPzsf6L84eP1r1Q15seqRM/edit?usp=sharing"",""สุโขทัย!L99"")+IMPORTRANGE(""https://docs.google."&amp;"com/spreadsheets/d/1v0b9pFQCsKUVExMei7AgY2yQkdeNQvtOssygGsXbiKo/edit?usp=sharing"",""อุตรดิตถ์!L99"")+IMPORTRANGE(""https://docs.google.com/spreadsheets/d/1UsNK1e-WWiCo2PvGqdNfdme4m17_Ezd3J69EeeiQPD0/edit?usp=sharing"",""อุทัยธานี!L99"")"),136300)</f>
        <v>136300</v>
      </c>
      <c r="M99" s="59">
        <f ca="1">IFERROR(__xludf.DUMMYFUNCTION("IMPORTRANGE(""https://docs.google.com/spreadsheets/d/1jTcq05yEiRwXcBMLjiodW9e4biSGYWAHcDj22rKWQ3s/edit?usp=sharing"",""กำแพงเพชร!M99"")+IMPORTRANGE(""https://docs.google.com/spreadsheets/d/1KS0zmDSZPk8KnTAbGN-Xk6MtX1YRZD0ldgdt20K4CRk/edit?usp=sharing"","""&amp;"เชียงราย!M99"")+IMPORTRANGE(""https://docs.google.com/spreadsheets/d/1rEDxBtusbi64tE0zunoIbsTVV16HeL0oJ6trHQeQ7K8/edit?usp=sharing"",""เชียงใหม่!M99"")+IMPORTRANGE(""https://docs.google.com/spreadsheets/d/1W6MnUbDkMi6xHnHko_XkFDO9kkuL6Wqyc-6OCDFjW9I/edit?"&amp;"usp=sharing"",""ตาก!M99"")+IMPORTRANGE(""https://docs.google.com/spreadsheets/d/1IQAWArduLkta9LpYo4a_ULsyqdta6-6aDDiwpUnQT6c/edit?usp=sharing"",""นครสวรรค์!M99"")+IMPORTRANGE(""https://docs.google.com/spreadsheets/d/10s13Sk5xrltsiR-Zkbmk5DwIaDIKO8XlbJAfqy"&amp;"T7Gvg/edit?usp=sharing"",""น่าน!M99"")+IMPORTRANGE(""https://docs.google.com/spreadsheets/d/1uu4nAn4Dbi1XREnLKKotUANlKXa7yCgRcgq8HEzQYW8/edit?usp=sharing"",""พะเยา!M99"")+IMPORTRANGE(""https://docs.google.com/spreadsheets/d/1xfJKIQxVOaPDIICqsflNlLu3JacTDk"&amp;"1FP9RH4phX7mI/edit?usp=sharing"",""พิจิตร!M99"")+IMPORTRANGE(""https://docs.google.com/spreadsheets/d/1JtRfZkJMHtEhI5RdRHxYUG4FIZHqKDpNyIuN7A1Q0_k/edit?usp=sharing"",""พิษณุโลก!M99"")+IMPORTRANGE(""https://docs.google.com/spreadsheets/d/1xlcVZWUNn6SuWm0c3"&amp;"07h32SiGkd9BaeQWlAktfD3KO8/edit?usp=sharing"",""เพชรบูรณ์!M99"")+IMPORTRANGE(""https://docs.google.com/spreadsheets/d/1lOVebEIsI9qjGXl6EX66luk7wiuP2tBaryw-wKvv4e0/edit?usp=sharing"",""แพร่!M99"")+IMPORTRANGE(""https://docs.google.com/spreadsheets/d/1dQrvX"&amp;"0vEcN7Gu0fnZ0B5S90AeR19zth4XlExFBeExMY/edit?usp=sharing"",""แม่ฮ่องสอน!M99"")+IMPORTRANGE(""https://docs.google.com/spreadsheets/d/1DY4XTNNwjluuxqdfdn6qvOSlMRrZqUtmYcZR0ttFiG4/edit?usp=sharing"",""ลำปาง!M99"")+IMPORTRANGE(""https://docs.google.com/spreads"&amp;"heets/d/1ICwG78r0OFT8biBlxnBF8r7she7gNSzOvJ958PWT09c/edit?usp=sharing"",""ลำพูน!M99"")+IMPORTRANGE(""https://docs.google.com/spreadsheets/d/1B0f2xJpZUC6Z0xXnqKlZtEPzsf6L84eP1r1Q15seqRM/edit?usp=sharing"",""สุโขทัย!M99"")+IMPORTRANGE(""https://docs.google."&amp;"com/spreadsheets/d/1v0b9pFQCsKUVExMei7AgY2yQkdeNQvtOssygGsXbiKo/edit?usp=sharing"",""อุตรดิตถ์!M99"")+IMPORTRANGE(""https://docs.google.com/spreadsheets/d/1UsNK1e-WWiCo2PvGqdNfdme4m17_Ezd3J69EeeiQPD0/edit?usp=sharing"",""อุทัยธานี!M99"")"),112000)</f>
        <v>112000</v>
      </c>
      <c r="N99" s="59">
        <f ca="1">IFERROR(__xludf.DUMMYFUNCTION("IMPORTRANGE(""https://docs.google.com/spreadsheets/d/1jTcq05yEiRwXcBMLjiodW9e4biSGYWAHcDj22rKWQ3s/edit?usp=sharing"",""กำแพงเพชร!N99"")+IMPORTRANGE(""https://docs.google.com/spreadsheets/d/1KS0zmDSZPk8KnTAbGN-Xk6MtX1YRZD0ldgdt20K4CRk/edit?usp=sharing"","""&amp;"เชียงราย!N99"")+IMPORTRANGE(""https://docs.google.com/spreadsheets/d/1rEDxBtusbi64tE0zunoIbsTVV16HeL0oJ6trHQeQ7K8/edit?usp=sharing"",""เชียงใหม่!N99"")+IMPORTRANGE(""https://docs.google.com/spreadsheets/d/1W6MnUbDkMi6xHnHko_XkFDO9kkuL6Wqyc-6OCDFjW9I/edit?"&amp;"usp=sharing"",""ตาก!N99"")+IMPORTRANGE(""https://docs.google.com/spreadsheets/d/1IQAWArduLkta9LpYo4a_ULsyqdta6-6aDDiwpUnQT6c/edit?usp=sharing"",""นครสวรรค์!N99"")+IMPORTRANGE(""https://docs.google.com/spreadsheets/d/10s13Sk5xrltsiR-Zkbmk5DwIaDIKO8XlbJAfqy"&amp;"T7Gvg/edit?usp=sharing"",""น่าน!N99"")+IMPORTRANGE(""https://docs.google.com/spreadsheets/d/1uu4nAn4Dbi1XREnLKKotUANlKXa7yCgRcgq8HEzQYW8/edit?usp=sharing"",""พะเยา!N99"")+IMPORTRANGE(""https://docs.google.com/spreadsheets/d/1xfJKIQxVOaPDIICqsflNlLu3JacTDk"&amp;"1FP9RH4phX7mI/edit?usp=sharing"",""พิจิตร!N99"")+IMPORTRANGE(""https://docs.google.com/spreadsheets/d/1JtRfZkJMHtEhI5RdRHxYUG4FIZHqKDpNyIuN7A1Q0_k/edit?usp=sharing"",""พิษณุโลก!N99"")+IMPORTRANGE(""https://docs.google.com/spreadsheets/d/1xlcVZWUNn6SuWm0c3"&amp;"07h32SiGkd9BaeQWlAktfD3KO8/edit?usp=sharing"",""เพชรบูรณ์!N99"")+IMPORTRANGE(""https://docs.google.com/spreadsheets/d/1lOVebEIsI9qjGXl6EX66luk7wiuP2tBaryw-wKvv4e0/edit?usp=sharing"",""แพร่!N99"")+IMPORTRANGE(""https://docs.google.com/spreadsheets/d/1dQrvX"&amp;"0vEcN7Gu0fnZ0B5S90AeR19zth4XlExFBeExMY/edit?usp=sharing"",""แม่ฮ่องสอน!N99"")+IMPORTRANGE(""https://docs.google.com/spreadsheets/d/1DY4XTNNwjluuxqdfdn6qvOSlMRrZqUtmYcZR0ttFiG4/edit?usp=sharing"",""ลำปาง!N99"")+IMPORTRANGE(""https://docs.google.com/spreads"&amp;"heets/d/1ICwG78r0OFT8biBlxnBF8r7she7gNSzOvJ958PWT09c/edit?usp=sharing"",""ลำพูน!N99"")+IMPORTRANGE(""https://docs.google.com/spreadsheets/d/1B0f2xJpZUC6Z0xXnqKlZtEPzsf6L84eP1r1Q15seqRM/edit?usp=sharing"",""สุโขทัย!N99"")+IMPORTRANGE(""https://docs.google."&amp;"com/spreadsheets/d/1v0b9pFQCsKUVExMei7AgY2yQkdeNQvtOssygGsXbiKo/edit?usp=sharing"",""อุตรดิตถ์!N99"")+IMPORTRANGE(""https://docs.google.com/spreadsheets/d/1UsNK1e-WWiCo2PvGqdNfdme4m17_Ezd3J69EeeiQPD0/edit?usp=sharing"",""อุทัยธานี!N99"")"),40240)</f>
        <v>40240</v>
      </c>
      <c r="O99" s="59">
        <f t="shared" ca="1" si="49"/>
        <v>29.523110785033015</v>
      </c>
      <c r="P99" s="59">
        <f t="shared" ca="1" si="50"/>
        <v>35.928571428571431</v>
      </c>
    </row>
    <row r="100" spans="1:16" ht="18.75" x14ac:dyDescent="0.25">
      <c r="A100" s="157"/>
      <c r="B100" s="53"/>
      <c r="C100" s="53"/>
      <c r="D100" s="54" t="s">
        <v>21</v>
      </c>
      <c r="E100" s="53"/>
      <c r="F100" s="53"/>
      <c r="G100" s="55"/>
      <c r="H100" s="166" t="s">
        <v>12</v>
      </c>
      <c r="I100" s="164"/>
      <c r="J100" s="164"/>
      <c r="K100" s="165"/>
      <c r="L100" s="59">
        <f t="shared" ref="L100:N100" ca="1" si="54">L101+L102</f>
        <v>0</v>
      </c>
      <c r="M100" s="59">
        <f t="shared" ca="1" si="54"/>
        <v>0</v>
      </c>
      <c r="N100" s="59">
        <f t="shared" ca="1" si="54"/>
        <v>0</v>
      </c>
      <c r="O100" s="59">
        <f t="shared" ca="1" si="49"/>
        <v>0</v>
      </c>
      <c r="P100" s="59">
        <f t="shared" ca="1" si="50"/>
        <v>0</v>
      </c>
    </row>
    <row r="101" spans="1:16" ht="18.75" x14ac:dyDescent="0.25">
      <c r="A101" s="157"/>
      <c r="B101" s="53"/>
      <c r="C101" s="53"/>
      <c r="D101" s="53"/>
      <c r="E101" s="60" t="s">
        <v>18</v>
      </c>
      <c r="F101" s="53"/>
      <c r="G101" s="55"/>
      <c r="H101" s="163" t="s">
        <v>12</v>
      </c>
      <c r="I101" s="164"/>
      <c r="J101" s="164"/>
      <c r="K101" s="165"/>
      <c r="L101" s="59">
        <f ca="1">IFERROR(__xludf.DUMMYFUNCTION("IMPORTRANGE(""https://docs.google.com/spreadsheets/d/1jTcq05yEiRwXcBMLjiodW9e4biSGYWAHcDj22rKWQ3s/edit?usp=sharing"",""กำแพงเพชร!L101"")+IMPORTRANGE(""https://docs.google.com/spreadsheets/d/1KS0zmDSZPk8KnTAbGN-Xk6MtX1YRZD0ldgdt20K4CRk/edit?usp=sharing"","&amp;"""เชียงราย!L101"")+IMPORTRANGE(""https://docs.google.com/spreadsheets/d/1rEDxBtusbi64tE0zunoIbsTVV16HeL0oJ6trHQeQ7K8/edit?usp=sharing"",""เชียงใหม่!L101"")+IMPORTRANGE(""https://docs.google.com/spreadsheets/d/1W6MnUbDkMi6xHnHko_XkFDO9kkuL6Wqyc-6OCDFjW9I/e"&amp;"dit?usp=sharing"",""ตาก!L101"")+IMPORTRANGE(""https://docs.google.com/spreadsheets/d/1IQAWArduLkta9LpYo4a_ULsyqdta6-6aDDiwpUnQT6c/edit?usp=sharing"",""นครสวรรค์!L101"")+IMPORTRANGE(""https://docs.google.com/spreadsheets/d/10s13Sk5xrltsiR-Zkbmk5DwIaDIKO8Xl"&amp;"bJAfqyT7Gvg/edit?usp=sharing"",""น่าน!L101"")+IMPORTRANGE(""https://docs.google.com/spreadsheets/d/1uu4nAn4Dbi1XREnLKKotUANlKXa7yCgRcgq8HEzQYW8/edit?usp=sharing"",""พะเยา!L101"")+IMPORTRANGE(""https://docs.google.com/spreadsheets/d/1xfJKIQxVOaPDIICqsflNlL"&amp;"u3JacTDk1FP9RH4phX7mI/edit?usp=sharing"",""พิจิตร!L101"")+IMPORTRANGE(""https://docs.google.com/spreadsheets/d/1JtRfZkJMHtEhI5RdRHxYUG4FIZHqKDpNyIuN7A1Q0_k/edit?usp=sharing"",""พิษณุโลก!L101"")+IMPORTRANGE(""https://docs.google.com/spreadsheets/d/1xlcVZWU"&amp;"Nn6SuWm0c307h32SiGkd9BaeQWlAktfD3KO8/edit?usp=sharing"",""เพชรบูรณ์!L101"")+IMPORTRANGE(""https://docs.google.com/spreadsheets/d/1lOVebEIsI9qjGXl6EX66luk7wiuP2tBaryw-wKvv4e0/edit?usp=sharing"",""แพร่!L101"")+IMPORTRANGE(""https://docs.google.com/spreadshe"&amp;"ets/d/1dQrvX0vEcN7Gu0fnZ0B5S90AeR19zth4XlExFBeExMY/edit?usp=sharing"",""แม่ฮ่องสอน!L101"")+IMPORTRANGE(""https://docs.google.com/spreadsheets/d/1DY4XTNNwjluuxqdfdn6qvOSlMRrZqUtmYcZR0ttFiG4/edit?usp=sharing"",""ลำปาง!L101"")+IMPORTRANGE(""https://docs.goog"&amp;"le.com/spreadsheets/d/1ICwG78r0OFT8biBlxnBF8r7she7gNSzOvJ958PWT09c/edit?usp=sharing"",""ลำพูน!L101"")+IMPORTRANGE(""https://docs.google.com/spreadsheets/d/1B0f2xJpZUC6Z0xXnqKlZtEPzsf6L84eP1r1Q15seqRM/edit?usp=sharing"",""สุโขทัย!L101"")+IMPORTRANGE(""http"&amp;"s://docs.google.com/spreadsheets/d/1v0b9pFQCsKUVExMei7AgY2yQkdeNQvtOssygGsXbiKo/edit?usp=sharing"",""อุตรดิตถ์!L101"")+IMPORTRANGE(""https://docs.google.com/spreadsheets/d/1UsNK1e-WWiCo2PvGqdNfdme4m17_Ezd3J69EeeiQPD0/edit?usp=sharing"",""อุทัยธานี!L101"")"),0)</f>
        <v>0</v>
      </c>
      <c r="M101" s="59">
        <f ca="1">IFERROR(__xludf.DUMMYFUNCTION("IMPORTRANGE(""https://docs.google.com/spreadsheets/d/1jTcq05yEiRwXcBMLjiodW9e4biSGYWAHcDj22rKWQ3s/edit?usp=sharing"",""กำแพงเพชร!M101"")+IMPORTRANGE(""https://docs.google.com/spreadsheets/d/1KS0zmDSZPk8KnTAbGN-Xk6MtX1YRZD0ldgdt20K4CRk/edit?usp=sharing"","&amp;"""เชียงราย!M101"")+IMPORTRANGE(""https://docs.google.com/spreadsheets/d/1rEDxBtusbi64tE0zunoIbsTVV16HeL0oJ6trHQeQ7K8/edit?usp=sharing"",""เชียงใหม่!M101"")+IMPORTRANGE(""https://docs.google.com/spreadsheets/d/1W6MnUbDkMi6xHnHko_XkFDO9kkuL6Wqyc-6OCDFjW9I/e"&amp;"dit?usp=sharing"",""ตาก!M101"")+IMPORTRANGE(""https://docs.google.com/spreadsheets/d/1IQAWArduLkta9LpYo4a_ULsyqdta6-6aDDiwpUnQT6c/edit?usp=sharing"",""นครสวรรค์!M101"")+IMPORTRANGE(""https://docs.google.com/spreadsheets/d/10s13Sk5xrltsiR-Zkbmk5DwIaDIKO8Xl"&amp;"bJAfqyT7Gvg/edit?usp=sharing"",""น่าน!M101"")+IMPORTRANGE(""https://docs.google.com/spreadsheets/d/1uu4nAn4Dbi1XREnLKKotUANlKXa7yCgRcgq8HEzQYW8/edit?usp=sharing"",""พะเยา!M101"")+IMPORTRANGE(""https://docs.google.com/spreadsheets/d/1xfJKIQxVOaPDIICqsflNlL"&amp;"u3JacTDk1FP9RH4phX7mI/edit?usp=sharing"",""พิจิตร!M101"")+IMPORTRANGE(""https://docs.google.com/spreadsheets/d/1JtRfZkJMHtEhI5RdRHxYUG4FIZHqKDpNyIuN7A1Q0_k/edit?usp=sharing"",""พิษณุโลก!M101"")+IMPORTRANGE(""https://docs.google.com/spreadsheets/d/1xlcVZWU"&amp;"Nn6SuWm0c307h32SiGkd9BaeQWlAktfD3KO8/edit?usp=sharing"",""เพชรบูรณ์!M101"")+IMPORTRANGE(""https://docs.google.com/spreadsheets/d/1lOVebEIsI9qjGXl6EX66luk7wiuP2tBaryw-wKvv4e0/edit?usp=sharing"",""แพร่!M101"")+IMPORTRANGE(""https://docs.google.com/spreadshe"&amp;"ets/d/1dQrvX0vEcN7Gu0fnZ0B5S90AeR19zth4XlExFBeExMY/edit?usp=sharing"",""แม่ฮ่องสอน!M101"")+IMPORTRANGE(""https://docs.google.com/spreadsheets/d/1DY4XTNNwjluuxqdfdn6qvOSlMRrZqUtmYcZR0ttFiG4/edit?usp=sharing"",""ลำปาง!M101"")+IMPORTRANGE(""https://docs.goog"&amp;"le.com/spreadsheets/d/1ICwG78r0OFT8biBlxnBF8r7she7gNSzOvJ958PWT09c/edit?usp=sharing"",""ลำพูน!M101"")+IMPORTRANGE(""https://docs.google.com/spreadsheets/d/1B0f2xJpZUC6Z0xXnqKlZtEPzsf6L84eP1r1Q15seqRM/edit?usp=sharing"",""สุโขทัย!M101"")+IMPORTRANGE(""http"&amp;"s://docs.google.com/spreadsheets/d/1v0b9pFQCsKUVExMei7AgY2yQkdeNQvtOssygGsXbiKo/edit?usp=sharing"",""อุตรดิตถ์!M101"")+IMPORTRANGE(""https://docs.google.com/spreadsheets/d/1UsNK1e-WWiCo2PvGqdNfdme4m17_Ezd3J69EeeiQPD0/edit?usp=sharing"",""อุทัยธานี!M101"")"),0)</f>
        <v>0</v>
      </c>
      <c r="N101" s="59">
        <f ca="1">IFERROR(__xludf.DUMMYFUNCTION("IMPORTRANGE(""https://docs.google.com/spreadsheets/d/1jTcq05yEiRwXcBMLjiodW9e4biSGYWAHcDj22rKWQ3s/edit?usp=sharing"",""กำแพงเพชร!N101"")+IMPORTRANGE(""https://docs.google.com/spreadsheets/d/1KS0zmDSZPk8KnTAbGN-Xk6MtX1YRZD0ldgdt20K4CRk/edit?usp=sharing"","&amp;"""เชียงราย!N101"")+IMPORTRANGE(""https://docs.google.com/spreadsheets/d/1rEDxBtusbi64tE0zunoIbsTVV16HeL0oJ6trHQeQ7K8/edit?usp=sharing"",""เชียงใหม่!N101"")+IMPORTRANGE(""https://docs.google.com/spreadsheets/d/1W6MnUbDkMi6xHnHko_XkFDO9kkuL6Wqyc-6OCDFjW9I/e"&amp;"dit?usp=sharing"",""ตาก!N101"")+IMPORTRANGE(""https://docs.google.com/spreadsheets/d/1IQAWArduLkta9LpYo4a_ULsyqdta6-6aDDiwpUnQT6c/edit?usp=sharing"",""นครสวรรค์!N101"")+IMPORTRANGE(""https://docs.google.com/spreadsheets/d/10s13Sk5xrltsiR-Zkbmk5DwIaDIKO8Xl"&amp;"bJAfqyT7Gvg/edit?usp=sharing"",""น่าน!N101"")+IMPORTRANGE(""https://docs.google.com/spreadsheets/d/1uu4nAn4Dbi1XREnLKKotUANlKXa7yCgRcgq8HEzQYW8/edit?usp=sharing"",""พะเยา!N101"")+IMPORTRANGE(""https://docs.google.com/spreadsheets/d/1xfJKIQxVOaPDIICqsflNlL"&amp;"u3JacTDk1FP9RH4phX7mI/edit?usp=sharing"",""พิจิตร!N101"")+IMPORTRANGE(""https://docs.google.com/spreadsheets/d/1JtRfZkJMHtEhI5RdRHxYUG4FIZHqKDpNyIuN7A1Q0_k/edit?usp=sharing"",""พิษณุโลก!N101"")+IMPORTRANGE(""https://docs.google.com/spreadsheets/d/1xlcVZWU"&amp;"Nn6SuWm0c307h32SiGkd9BaeQWlAktfD3KO8/edit?usp=sharing"",""เพชรบูรณ์!N101"")+IMPORTRANGE(""https://docs.google.com/spreadsheets/d/1lOVebEIsI9qjGXl6EX66luk7wiuP2tBaryw-wKvv4e0/edit?usp=sharing"",""แพร่!N101"")+IMPORTRANGE(""https://docs.google.com/spreadshe"&amp;"ets/d/1dQrvX0vEcN7Gu0fnZ0B5S90AeR19zth4XlExFBeExMY/edit?usp=sharing"",""แม่ฮ่องสอน!N101"")+IMPORTRANGE(""https://docs.google.com/spreadsheets/d/1DY4XTNNwjluuxqdfdn6qvOSlMRrZqUtmYcZR0ttFiG4/edit?usp=sharing"",""ลำปาง!N101"")+IMPORTRANGE(""https://docs.goog"&amp;"le.com/spreadsheets/d/1ICwG78r0OFT8biBlxnBF8r7she7gNSzOvJ958PWT09c/edit?usp=sharing"",""ลำพูน!N101"")+IMPORTRANGE(""https://docs.google.com/spreadsheets/d/1B0f2xJpZUC6Z0xXnqKlZtEPzsf6L84eP1r1Q15seqRM/edit?usp=sharing"",""สุโขทัย!N101"")+IMPORTRANGE(""http"&amp;"s://docs.google.com/spreadsheets/d/1v0b9pFQCsKUVExMei7AgY2yQkdeNQvtOssygGsXbiKo/edit?usp=sharing"",""อุตรดิตถ์!N101"")+IMPORTRANGE(""https://docs.google.com/spreadsheets/d/1UsNK1e-WWiCo2PvGqdNfdme4m17_Ezd3J69EeeiQPD0/edit?usp=sharing"",""อุทัยธานี!N101"")"),0)</f>
        <v>0</v>
      </c>
      <c r="O101" s="59">
        <f t="shared" ca="1" si="49"/>
        <v>0</v>
      </c>
      <c r="P101" s="59">
        <f t="shared" ca="1" si="50"/>
        <v>0</v>
      </c>
    </row>
    <row r="102" spans="1:16" ht="18.75" x14ac:dyDescent="0.25">
      <c r="A102" s="157"/>
      <c r="B102" s="53"/>
      <c r="C102" s="53"/>
      <c r="D102" s="53"/>
      <c r="E102" s="60" t="s">
        <v>19</v>
      </c>
      <c r="F102" s="53"/>
      <c r="G102" s="55"/>
      <c r="H102" s="166" t="s">
        <v>12</v>
      </c>
      <c r="I102" s="164"/>
      <c r="J102" s="164"/>
      <c r="K102" s="165"/>
      <c r="L102" s="59">
        <f ca="1">IFERROR(__xludf.DUMMYFUNCTION("IMPORTRANGE(""https://docs.google.com/spreadsheets/d/1jTcq05yEiRwXcBMLjiodW9e4biSGYWAHcDj22rKWQ3s/edit?usp=sharing"",""กำแพงเพชร!L102"")+IMPORTRANGE(""https://docs.google.com/spreadsheets/d/1KS0zmDSZPk8KnTAbGN-Xk6MtX1YRZD0ldgdt20K4CRk/edit?usp=sharing"","&amp;"""เชียงราย!L102"")+IMPORTRANGE(""https://docs.google.com/spreadsheets/d/1rEDxBtusbi64tE0zunoIbsTVV16HeL0oJ6trHQeQ7K8/edit?usp=sharing"",""เชียงใหม่!L102"")+IMPORTRANGE(""https://docs.google.com/spreadsheets/d/1W6MnUbDkMi6xHnHko_XkFDO9kkuL6Wqyc-6OCDFjW9I/e"&amp;"dit?usp=sharing"",""ตาก!L102"")+IMPORTRANGE(""https://docs.google.com/spreadsheets/d/1IQAWArduLkta9LpYo4a_ULsyqdta6-6aDDiwpUnQT6c/edit?usp=sharing"",""นครสวรรค์!L102"")+IMPORTRANGE(""https://docs.google.com/spreadsheets/d/10s13Sk5xrltsiR-Zkbmk5DwIaDIKO8Xl"&amp;"bJAfqyT7Gvg/edit?usp=sharing"",""น่าน!L102"")+IMPORTRANGE(""https://docs.google.com/spreadsheets/d/1uu4nAn4Dbi1XREnLKKotUANlKXa7yCgRcgq8HEzQYW8/edit?usp=sharing"",""พะเยา!L102"")+IMPORTRANGE(""https://docs.google.com/spreadsheets/d/1xfJKIQxVOaPDIICqsflNlL"&amp;"u3JacTDk1FP9RH4phX7mI/edit?usp=sharing"",""พิจิตร!L102"")+IMPORTRANGE(""https://docs.google.com/spreadsheets/d/1JtRfZkJMHtEhI5RdRHxYUG4FIZHqKDpNyIuN7A1Q0_k/edit?usp=sharing"",""พิษณุโลก!L102"")+IMPORTRANGE(""https://docs.google.com/spreadsheets/d/1xlcVZWU"&amp;"Nn6SuWm0c307h32SiGkd9BaeQWlAktfD3KO8/edit?usp=sharing"",""เพชรบูรณ์!L102"")+IMPORTRANGE(""https://docs.google.com/spreadsheets/d/1lOVebEIsI9qjGXl6EX66luk7wiuP2tBaryw-wKvv4e0/edit?usp=sharing"",""แพร่!L102"")+IMPORTRANGE(""https://docs.google.com/spreadshe"&amp;"ets/d/1dQrvX0vEcN7Gu0fnZ0B5S90AeR19zth4XlExFBeExMY/edit?usp=sharing"",""แม่ฮ่องสอน!L102"")+IMPORTRANGE(""https://docs.google.com/spreadsheets/d/1DY4XTNNwjluuxqdfdn6qvOSlMRrZqUtmYcZR0ttFiG4/edit?usp=sharing"",""ลำปาง!L102"")+IMPORTRANGE(""https://docs.goog"&amp;"le.com/spreadsheets/d/1ICwG78r0OFT8biBlxnBF8r7she7gNSzOvJ958PWT09c/edit?usp=sharing"",""ลำพูน!L102"")+IMPORTRANGE(""https://docs.google.com/spreadsheets/d/1B0f2xJpZUC6Z0xXnqKlZtEPzsf6L84eP1r1Q15seqRM/edit?usp=sharing"",""สุโขทัย!L102"")+IMPORTRANGE(""http"&amp;"s://docs.google.com/spreadsheets/d/1v0b9pFQCsKUVExMei7AgY2yQkdeNQvtOssygGsXbiKo/edit?usp=sharing"",""อุตรดิตถ์!L102"")+IMPORTRANGE(""https://docs.google.com/spreadsheets/d/1UsNK1e-WWiCo2PvGqdNfdme4m17_Ezd3J69EeeiQPD0/edit?usp=sharing"",""อุทัยธานี!L102"")"),0)</f>
        <v>0</v>
      </c>
      <c r="M102" s="59">
        <f ca="1">IFERROR(__xludf.DUMMYFUNCTION("IMPORTRANGE(""https://docs.google.com/spreadsheets/d/1jTcq05yEiRwXcBMLjiodW9e4biSGYWAHcDj22rKWQ3s/edit?usp=sharing"",""กำแพงเพชร!M102"")+IMPORTRANGE(""https://docs.google.com/spreadsheets/d/1KS0zmDSZPk8KnTAbGN-Xk6MtX1YRZD0ldgdt20K4CRk/edit?usp=sharing"","&amp;"""เชียงราย!M102"")+IMPORTRANGE(""https://docs.google.com/spreadsheets/d/1rEDxBtusbi64tE0zunoIbsTVV16HeL0oJ6trHQeQ7K8/edit?usp=sharing"",""เชียงใหม่!M102"")+IMPORTRANGE(""https://docs.google.com/spreadsheets/d/1W6MnUbDkMi6xHnHko_XkFDO9kkuL6Wqyc-6OCDFjW9I/e"&amp;"dit?usp=sharing"",""ตาก!M102"")+IMPORTRANGE(""https://docs.google.com/spreadsheets/d/1IQAWArduLkta9LpYo4a_ULsyqdta6-6aDDiwpUnQT6c/edit?usp=sharing"",""นครสวรรค์!M102"")+IMPORTRANGE(""https://docs.google.com/spreadsheets/d/10s13Sk5xrltsiR-Zkbmk5DwIaDIKO8Xl"&amp;"bJAfqyT7Gvg/edit?usp=sharing"",""น่าน!M102"")+IMPORTRANGE(""https://docs.google.com/spreadsheets/d/1uu4nAn4Dbi1XREnLKKotUANlKXa7yCgRcgq8HEzQYW8/edit?usp=sharing"",""พะเยา!M102"")+IMPORTRANGE(""https://docs.google.com/spreadsheets/d/1xfJKIQxVOaPDIICqsflNlL"&amp;"u3JacTDk1FP9RH4phX7mI/edit?usp=sharing"",""พิจิตร!M102"")+IMPORTRANGE(""https://docs.google.com/spreadsheets/d/1JtRfZkJMHtEhI5RdRHxYUG4FIZHqKDpNyIuN7A1Q0_k/edit?usp=sharing"",""พิษณุโลก!M102"")+IMPORTRANGE(""https://docs.google.com/spreadsheets/d/1xlcVZWU"&amp;"Nn6SuWm0c307h32SiGkd9BaeQWlAktfD3KO8/edit?usp=sharing"",""เพชรบูรณ์!M102"")+IMPORTRANGE(""https://docs.google.com/spreadsheets/d/1lOVebEIsI9qjGXl6EX66luk7wiuP2tBaryw-wKvv4e0/edit?usp=sharing"",""แพร่!M102"")+IMPORTRANGE(""https://docs.google.com/spreadshe"&amp;"ets/d/1dQrvX0vEcN7Gu0fnZ0B5S90AeR19zth4XlExFBeExMY/edit?usp=sharing"",""แม่ฮ่องสอน!M102"")+IMPORTRANGE(""https://docs.google.com/spreadsheets/d/1DY4XTNNwjluuxqdfdn6qvOSlMRrZqUtmYcZR0ttFiG4/edit?usp=sharing"",""ลำปาง!M102"")+IMPORTRANGE(""https://docs.goog"&amp;"le.com/spreadsheets/d/1ICwG78r0OFT8biBlxnBF8r7she7gNSzOvJ958PWT09c/edit?usp=sharing"",""ลำพูน!M102"")+IMPORTRANGE(""https://docs.google.com/spreadsheets/d/1B0f2xJpZUC6Z0xXnqKlZtEPzsf6L84eP1r1Q15seqRM/edit?usp=sharing"",""สุโขทัย!M102"")+IMPORTRANGE(""http"&amp;"s://docs.google.com/spreadsheets/d/1v0b9pFQCsKUVExMei7AgY2yQkdeNQvtOssygGsXbiKo/edit?usp=sharing"",""อุตรดิตถ์!M102"")+IMPORTRANGE(""https://docs.google.com/spreadsheets/d/1UsNK1e-WWiCo2PvGqdNfdme4m17_Ezd3J69EeeiQPD0/edit?usp=sharing"",""อุทัยธานี!M102"")"),0)</f>
        <v>0</v>
      </c>
      <c r="N102" s="59">
        <f ca="1">IFERROR(__xludf.DUMMYFUNCTION("IMPORTRANGE(""https://docs.google.com/spreadsheets/d/1jTcq05yEiRwXcBMLjiodW9e4biSGYWAHcDj22rKWQ3s/edit?usp=sharing"",""กำแพงเพชร!N102"")+IMPORTRANGE(""https://docs.google.com/spreadsheets/d/1KS0zmDSZPk8KnTAbGN-Xk6MtX1YRZD0ldgdt20K4CRk/edit?usp=sharing"","&amp;"""เชียงราย!N102"")+IMPORTRANGE(""https://docs.google.com/spreadsheets/d/1rEDxBtusbi64tE0zunoIbsTVV16HeL0oJ6trHQeQ7K8/edit?usp=sharing"",""เชียงใหม่!N102"")+IMPORTRANGE(""https://docs.google.com/spreadsheets/d/1W6MnUbDkMi6xHnHko_XkFDO9kkuL6Wqyc-6OCDFjW9I/e"&amp;"dit?usp=sharing"",""ตาก!N102"")+IMPORTRANGE(""https://docs.google.com/spreadsheets/d/1IQAWArduLkta9LpYo4a_ULsyqdta6-6aDDiwpUnQT6c/edit?usp=sharing"",""นครสวรรค์!N102"")+IMPORTRANGE(""https://docs.google.com/spreadsheets/d/10s13Sk5xrltsiR-Zkbmk5DwIaDIKO8Xl"&amp;"bJAfqyT7Gvg/edit?usp=sharing"",""น่าน!N102"")+IMPORTRANGE(""https://docs.google.com/spreadsheets/d/1uu4nAn4Dbi1XREnLKKotUANlKXa7yCgRcgq8HEzQYW8/edit?usp=sharing"",""พะเยา!N102"")+IMPORTRANGE(""https://docs.google.com/spreadsheets/d/1xfJKIQxVOaPDIICqsflNlL"&amp;"u3JacTDk1FP9RH4phX7mI/edit?usp=sharing"",""พิจิตร!N102"")+IMPORTRANGE(""https://docs.google.com/spreadsheets/d/1JtRfZkJMHtEhI5RdRHxYUG4FIZHqKDpNyIuN7A1Q0_k/edit?usp=sharing"",""พิษณุโลก!N102"")+IMPORTRANGE(""https://docs.google.com/spreadsheets/d/1xlcVZWU"&amp;"Nn6SuWm0c307h32SiGkd9BaeQWlAktfD3KO8/edit?usp=sharing"",""เพชรบูรณ์!N102"")+IMPORTRANGE(""https://docs.google.com/spreadsheets/d/1lOVebEIsI9qjGXl6EX66luk7wiuP2tBaryw-wKvv4e0/edit?usp=sharing"",""แพร่!N102"")+IMPORTRANGE(""https://docs.google.com/spreadshe"&amp;"ets/d/1dQrvX0vEcN7Gu0fnZ0B5S90AeR19zth4XlExFBeExMY/edit?usp=sharing"",""แม่ฮ่องสอน!N102"")+IMPORTRANGE(""https://docs.google.com/spreadsheets/d/1DY4XTNNwjluuxqdfdn6qvOSlMRrZqUtmYcZR0ttFiG4/edit?usp=sharing"",""ลำปาง!N102"")+IMPORTRANGE(""https://docs.goog"&amp;"le.com/spreadsheets/d/1ICwG78r0OFT8biBlxnBF8r7she7gNSzOvJ958PWT09c/edit?usp=sharing"",""ลำพูน!N102"")+IMPORTRANGE(""https://docs.google.com/spreadsheets/d/1B0f2xJpZUC6Z0xXnqKlZtEPzsf6L84eP1r1Q15seqRM/edit?usp=sharing"",""สุโขทัย!N102"")+IMPORTRANGE(""http"&amp;"s://docs.google.com/spreadsheets/d/1v0b9pFQCsKUVExMei7AgY2yQkdeNQvtOssygGsXbiKo/edit?usp=sharing"",""อุตรดิตถ์!N102"")+IMPORTRANGE(""https://docs.google.com/spreadsheets/d/1UsNK1e-WWiCo2PvGqdNfdme4m17_Ezd3J69EeeiQPD0/edit?usp=sharing"",""อุทัยธานี!N102"")"),0)</f>
        <v>0</v>
      </c>
      <c r="O102" s="59">
        <f t="shared" ca="1" si="49"/>
        <v>0</v>
      </c>
      <c r="P102" s="59">
        <f t="shared" ca="1" si="50"/>
        <v>0</v>
      </c>
    </row>
    <row r="103" spans="1:16" ht="19.5" x14ac:dyDescent="0.3">
      <c r="A103" s="167"/>
      <c r="B103" s="168"/>
      <c r="C103" s="158" t="s">
        <v>16</v>
      </c>
      <c r="D103" s="169" t="s">
        <v>36</v>
      </c>
      <c r="E103" s="170"/>
      <c r="F103" s="170"/>
      <c r="G103" s="171"/>
      <c r="H103" s="172"/>
      <c r="I103" s="164"/>
      <c r="J103" s="57"/>
      <c r="K103" s="58"/>
      <c r="L103" s="58"/>
      <c r="M103" s="58"/>
      <c r="N103" s="58"/>
      <c r="O103" s="165"/>
      <c r="P103" s="165"/>
    </row>
    <row r="104" spans="1:16" ht="18.75" hidden="1" x14ac:dyDescent="0.25">
      <c r="A104" s="184"/>
      <c r="B104" s="185"/>
      <c r="C104" s="185"/>
      <c r="D104" s="186"/>
      <c r="E104" s="187"/>
      <c r="F104" s="187"/>
      <c r="G104" s="188"/>
      <c r="H104" s="189"/>
      <c r="I104" s="190"/>
      <c r="J104" s="190"/>
      <c r="K104" s="191"/>
      <c r="L104" s="23"/>
      <c r="M104" s="23"/>
      <c r="N104" s="23"/>
      <c r="O104" s="23"/>
      <c r="P104" s="23"/>
    </row>
    <row r="105" spans="1:16" ht="18.75" hidden="1" x14ac:dyDescent="0.25">
      <c r="A105" s="184"/>
      <c r="B105" s="185"/>
      <c r="C105" s="185"/>
      <c r="D105" s="186"/>
      <c r="E105" s="187"/>
      <c r="F105" s="187"/>
      <c r="G105" s="188"/>
      <c r="H105" s="189"/>
      <c r="I105" s="190"/>
      <c r="J105" s="190"/>
      <c r="K105" s="191"/>
      <c r="L105" s="23"/>
      <c r="M105" s="23"/>
      <c r="N105" s="23"/>
      <c r="O105" s="23"/>
      <c r="P105" s="23"/>
    </row>
    <row r="106" spans="1:16" ht="18.75" hidden="1" x14ac:dyDescent="0.25">
      <c r="A106" s="184"/>
      <c r="B106" s="185"/>
      <c r="C106" s="185"/>
      <c r="D106" s="185"/>
      <c r="E106" s="187"/>
      <c r="F106" s="187"/>
      <c r="G106" s="188"/>
      <c r="H106" s="189"/>
      <c r="I106" s="190"/>
      <c r="J106" s="190"/>
      <c r="K106" s="191"/>
      <c r="L106" s="23"/>
      <c r="M106" s="23"/>
      <c r="N106" s="23"/>
      <c r="O106" s="23"/>
      <c r="P106" s="23"/>
    </row>
    <row r="107" spans="1:16" ht="19.5" x14ac:dyDescent="0.3">
      <c r="A107" s="167"/>
      <c r="B107" s="168"/>
      <c r="C107" s="168"/>
      <c r="D107" s="192" t="s">
        <v>45</v>
      </c>
      <c r="F107" s="174"/>
      <c r="G107" s="172"/>
      <c r="H107" s="55"/>
      <c r="I107" s="57"/>
      <c r="J107" s="57"/>
      <c r="K107" s="58"/>
      <c r="L107" s="58"/>
      <c r="M107" s="58"/>
      <c r="N107" s="58"/>
      <c r="O107" s="165"/>
      <c r="P107" s="165"/>
    </row>
    <row r="108" spans="1:16" ht="18.75" x14ac:dyDescent="0.25">
      <c r="A108" s="167"/>
      <c r="B108" s="168"/>
      <c r="C108" s="168"/>
      <c r="D108" s="193" t="s">
        <v>46</v>
      </c>
      <c r="E108" s="193"/>
      <c r="F108" s="174"/>
      <c r="G108" s="172"/>
      <c r="H108" s="56" t="s">
        <v>44</v>
      </c>
      <c r="I108" s="194">
        <f ca="1">IFERROR(__xludf.DUMMYFUNCTION("IMPORTRANGE(""https://docs.google.com/spreadsheets/d/1jTcq05yEiRwXcBMLjiodW9e4biSGYWAHcDj22rKWQ3s/edit?usp=sharing"",""กำแพงเพชร!I108"")+IMPORTRANGE(""https://docs.google.com/spreadsheets/d/1KS0zmDSZPk8KnTAbGN-Xk6MtX1YRZD0ldgdt20K4CRk/edit?usp=sharing"","&amp;"""เชียงราย!I108"")+IMPORTRANGE(""https://docs.google.com/spreadsheets/d/1rEDxBtusbi64tE0zunoIbsTVV16HeL0oJ6trHQeQ7K8/edit?usp=sharing"",""เชียงใหม่!I108"")+IMPORTRANGE(""https://docs.google.com/spreadsheets/d/1W6MnUbDkMi6xHnHko_XkFDO9kkuL6Wqyc-6OCDFjW9I/e"&amp;"dit?usp=sharing"",""ตาก!I108"")+IMPORTRANGE(""https://docs.google.com/spreadsheets/d/1IQAWArduLkta9LpYo4a_ULsyqdta6-6aDDiwpUnQT6c/edit?usp=sharing"",""นครสวรรค์!I108"")+IMPORTRANGE(""https://docs.google.com/spreadsheets/d/10s13Sk5xrltsiR-Zkbmk5DwIaDIKO8Xl"&amp;"bJAfqyT7Gvg/edit?usp=sharing"",""น่าน!I108"")+IMPORTRANGE(""https://docs.google.com/spreadsheets/d/1uu4nAn4Dbi1XREnLKKotUANlKXa7yCgRcgq8HEzQYW8/edit?usp=sharing"",""พะเยา!I108"")+IMPORTRANGE(""https://docs.google.com/spreadsheets/d/1xfJKIQxVOaPDIICqsflNlL"&amp;"u3JacTDk1FP9RH4phX7mI/edit?usp=sharing"",""พิจิตร!I108"")+IMPORTRANGE(""https://docs.google.com/spreadsheets/d/1JtRfZkJMHtEhI5RdRHxYUG4FIZHqKDpNyIuN7A1Q0_k/edit?usp=sharing"",""พิษณุโลก!I108"")+IMPORTRANGE(""https://docs.google.com/spreadsheets/d/1xlcVZWU"&amp;"Nn6SuWm0c307h32SiGkd9BaeQWlAktfD3KO8/edit?usp=sharing"",""เพชรบูรณ์!I108"")+IMPORTRANGE(""https://docs.google.com/spreadsheets/d/1lOVebEIsI9qjGXl6EX66luk7wiuP2tBaryw-wKvv4e0/edit?usp=sharing"",""แพร่!I108"")+IMPORTRANGE(""https://docs.google.com/spreadshe"&amp;"ets/d/1dQrvX0vEcN7Gu0fnZ0B5S90AeR19zth4XlExFBeExMY/edit?usp=sharing"",""แม่ฮ่องสอน!I108"")+IMPORTRANGE(""https://docs.google.com/spreadsheets/d/1DY4XTNNwjluuxqdfdn6qvOSlMRrZqUtmYcZR0ttFiG4/edit?usp=sharing"",""ลำปาง!I108"")+IMPORTRANGE(""https://docs.goog"&amp;"le.com/spreadsheets/d/1ICwG78r0OFT8biBlxnBF8r7she7gNSzOvJ958PWT09c/edit?usp=sharing"",""ลำพูน!I108"")+IMPORTRANGE(""https://docs.google.com/spreadsheets/d/1B0f2xJpZUC6Z0xXnqKlZtEPzsf6L84eP1r1Q15seqRM/edit?usp=sharing"",""สุโขทัย!I108"")+IMPORTRANGE(""http"&amp;"s://docs.google.com/spreadsheets/d/1v0b9pFQCsKUVExMei7AgY2yQkdeNQvtOssygGsXbiKo/edit?usp=sharing"",""อุตรดิตถ์!I108"")+IMPORTRANGE(""https://docs.google.com/spreadsheets/d/1UsNK1e-WWiCo2PvGqdNfdme4m17_Ezd3J69EeeiQPD0/edit?usp=sharing"",""อุทัยธานี!I108"")"),30)</f>
        <v>30</v>
      </c>
      <c r="J108" s="181">
        <f ca="1">IFERROR(__xludf.DUMMYFUNCTION("IMPORTRANGE(""https://docs.google.com/spreadsheets/d/1jTcq05yEiRwXcBMLjiodW9e4biSGYWAHcDj22rKWQ3s/edit?usp=sharing"",""กำแพงเพชร!J108"")+IMPORTRANGE(""https://docs.google.com/spreadsheets/d/1KS0zmDSZPk8KnTAbGN-Xk6MtX1YRZD0ldgdt20K4CRk/edit?usp=sharing"","&amp;"""เชียงราย!J108"")+IMPORTRANGE(""https://docs.google.com/spreadsheets/d/1rEDxBtusbi64tE0zunoIbsTVV16HeL0oJ6trHQeQ7K8/edit?usp=sharing"",""เชียงใหม่!J108"")+IMPORTRANGE(""https://docs.google.com/spreadsheets/d/1W6MnUbDkMi6xHnHko_XkFDO9kkuL6Wqyc-6OCDFjW9I/e"&amp;"dit?usp=sharing"",""ตาก!J108"")+IMPORTRANGE(""https://docs.google.com/spreadsheets/d/1IQAWArduLkta9LpYo4a_ULsyqdta6-6aDDiwpUnQT6c/edit?usp=sharing"",""นครสวรรค์!J108"")+IMPORTRANGE(""https://docs.google.com/spreadsheets/d/10s13Sk5xrltsiR-Zkbmk5DwIaDIKO8Xl"&amp;"bJAfqyT7Gvg/edit?usp=sharing"",""น่าน!J108"")+IMPORTRANGE(""https://docs.google.com/spreadsheets/d/1uu4nAn4Dbi1XREnLKKotUANlKXa7yCgRcgq8HEzQYW8/edit?usp=sharing"",""พะเยา!J108"")+IMPORTRANGE(""https://docs.google.com/spreadsheets/d/1xfJKIQxVOaPDIICqsflNlL"&amp;"u3JacTDk1FP9RH4phX7mI/edit?usp=sharing"",""พิจิตร!J108"")+IMPORTRANGE(""https://docs.google.com/spreadsheets/d/1JtRfZkJMHtEhI5RdRHxYUG4FIZHqKDpNyIuN7A1Q0_k/edit?usp=sharing"",""พิษณุโลก!J108"")+IMPORTRANGE(""https://docs.google.com/spreadsheets/d/1xlcVZWU"&amp;"Nn6SuWm0c307h32SiGkd9BaeQWlAktfD3KO8/edit?usp=sharing"",""เพชรบูรณ์!J108"")+IMPORTRANGE(""https://docs.google.com/spreadsheets/d/1lOVebEIsI9qjGXl6EX66luk7wiuP2tBaryw-wKvv4e0/edit?usp=sharing"",""แพร่!J108"")+IMPORTRANGE(""https://docs.google.com/spreadshe"&amp;"ets/d/1dQrvX0vEcN7Gu0fnZ0B5S90AeR19zth4XlExFBeExMY/edit?usp=sharing"",""แม่ฮ่องสอน!J108"")+IMPORTRANGE(""https://docs.google.com/spreadsheets/d/1DY4XTNNwjluuxqdfdn6qvOSlMRrZqUtmYcZR0ttFiG4/edit?usp=sharing"",""ลำปาง!J108"")+IMPORTRANGE(""https://docs.goog"&amp;"le.com/spreadsheets/d/1ICwG78r0OFT8biBlxnBF8r7she7gNSzOvJ958PWT09c/edit?usp=sharing"",""ลำพูน!J108"")+IMPORTRANGE(""https://docs.google.com/spreadsheets/d/1B0f2xJpZUC6Z0xXnqKlZtEPzsf6L84eP1r1Q15seqRM/edit?usp=sharing"",""สุโขทัย!J108"")+IMPORTRANGE(""http"&amp;"s://docs.google.com/spreadsheets/d/1v0b9pFQCsKUVExMei7AgY2yQkdeNQvtOssygGsXbiKo/edit?usp=sharing"",""อุตรดิตถ์!J108"")+IMPORTRANGE(""https://docs.google.com/spreadsheets/d/1UsNK1e-WWiCo2PvGqdNfdme4m17_Ezd3J69EeeiQPD0/edit?usp=sharing"",""อุทัยธานี!J108"")"),0)</f>
        <v>0</v>
      </c>
      <c r="K108" s="59">
        <f t="shared" ref="K108:K109" ca="1" si="55">IF(I108&gt;0,J108*100/I108,0)</f>
        <v>0</v>
      </c>
      <c r="L108" s="58"/>
      <c r="M108" s="58"/>
      <c r="N108" s="58"/>
      <c r="O108" s="165"/>
      <c r="P108" s="165"/>
    </row>
    <row r="109" spans="1:16" ht="18.75" x14ac:dyDescent="0.25">
      <c r="A109" s="167"/>
      <c r="B109" s="168"/>
      <c r="C109" s="168"/>
      <c r="D109" s="178" t="s">
        <v>47</v>
      </c>
      <c r="E109" s="178"/>
      <c r="F109" s="174"/>
      <c r="G109" s="172"/>
      <c r="H109" s="56" t="s">
        <v>33</v>
      </c>
      <c r="I109" s="194">
        <f ca="1">IFERROR(__xludf.DUMMYFUNCTION("IMPORTRANGE(""https://docs.google.com/spreadsheets/d/1jTcq05yEiRwXcBMLjiodW9e4biSGYWAHcDj22rKWQ3s/edit?usp=sharing"",""กำแพงเพชร!I109"")+IMPORTRANGE(""https://docs.google.com/spreadsheets/d/1KS0zmDSZPk8KnTAbGN-Xk6MtX1YRZD0ldgdt20K4CRk/edit?usp=sharing"","&amp;"""เชียงราย!I109"")+IMPORTRANGE(""https://docs.google.com/spreadsheets/d/1rEDxBtusbi64tE0zunoIbsTVV16HeL0oJ6trHQeQ7K8/edit?usp=sharing"",""เชียงใหม่!I109"")+IMPORTRANGE(""https://docs.google.com/spreadsheets/d/1W6MnUbDkMi6xHnHko_XkFDO9kkuL6Wqyc-6OCDFjW9I/e"&amp;"dit?usp=sharing"",""ตาก!I109"")+IMPORTRANGE(""https://docs.google.com/spreadsheets/d/1IQAWArduLkta9LpYo4a_ULsyqdta6-6aDDiwpUnQT6c/edit?usp=sharing"",""นครสวรรค์!I109"")+IMPORTRANGE(""https://docs.google.com/spreadsheets/d/10s13Sk5xrltsiR-Zkbmk5DwIaDIKO8Xl"&amp;"bJAfqyT7Gvg/edit?usp=sharing"",""น่าน!I109"")+IMPORTRANGE(""https://docs.google.com/spreadsheets/d/1uu4nAn4Dbi1XREnLKKotUANlKXa7yCgRcgq8HEzQYW8/edit?usp=sharing"",""พะเยา!I109"")+IMPORTRANGE(""https://docs.google.com/spreadsheets/d/1xfJKIQxVOaPDIICqsflNlL"&amp;"u3JacTDk1FP9RH4phX7mI/edit?usp=sharing"",""พิจิตร!I109"")+IMPORTRANGE(""https://docs.google.com/spreadsheets/d/1JtRfZkJMHtEhI5RdRHxYUG4FIZHqKDpNyIuN7A1Q0_k/edit?usp=sharing"",""พิษณุโลก!I109"")+IMPORTRANGE(""https://docs.google.com/spreadsheets/d/1xlcVZWU"&amp;"Nn6SuWm0c307h32SiGkd9BaeQWlAktfD3KO8/edit?usp=sharing"",""เพชรบูรณ์!I109"")+IMPORTRANGE(""https://docs.google.com/spreadsheets/d/1lOVebEIsI9qjGXl6EX66luk7wiuP2tBaryw-wKvv4e0/edit?usp=sharing"",""แพร่!I109"")+IMPORTRANGE(""https://docs.google.com/spreadshe"&amp;"ets/d/1dQrvX0vEcN7Gu0fnZ0B5S90AeR19zth4XlExFBeExMY/edit?usp=sharing"",""แม่ฮ่องสอน!I109"")+IMPORTRANGE(""https://docs.google.com/spreadsheets/d/1DY4XTNNwjluuxqdfdn6qvOSlMRrZqUtmYcZR0ttFiG4/edit?usp=sharing"",""ลำปาง!I109"")+IMPORTRANGE(""https://docs.goog"&amp;"le.com/spreadsheets/d/1ICwG78r0OFT8biBlxnBF8r7she7gNSzOvJ958PWT09c/edit?usp=sharing"",""ลำพูน!I109"")+IMPORTRANGE(""https://docs.google.com/spreadsheets/d/1B0f2xJpZUC6Z0xXnqKlZtEPzsf6L84eP1r1Q15seqRM/edit?usp=sharing"",""สุโขทัย!I109"")+IMPORTRANGE(""http"&amp;"s://docs.google.com/spreadsheets/d/1v0b9pFQCsKUVExMei7AgY2yQkdeNQvtOssygGsXbiKo/edit?usp=sharing"",""อุตรดิตถ์!I109"")+IMPORTRANGE(""https://docs.google.com/spreadsheets/d/1UsNK1e-WWiCo2PvGqdNfdme4m17_Ezd3J69EeeiQPD0/edit?usp=sharing"",""อุทัยธานี!I109"")"),10)</f>
        <v>10</v>
      </c>
      <c r="J109" s="181">
        <f ca="1">IFERROR(__xludf.DUMMYFUNCTION("IMPORTRANGE(""https://docs.google.com/spreadsheets/d/1jTcq05yEiRwXcBMLjiodW9e4biSGYWAHcDj22rKWQ3s/edit?usp=sharing"",""กำแพงเพชร!J109"")+IMPORTRANGE(""https://docs.google.com/spreadsheets/d/1KS0zmDSZPk8KnTAbGN-Xk6MtX1YRZD0ldgdt20K4CRk/edit?usp=sharing"","&amp;"""เชียงราย!J109"")+IMPORTRANGE(""https://docs.google.com/spreadsheets/d/1rEDxBtusbi64tE0zunoIbsTVV16HeL0oJ6trHQeQ7K8/edit?usp=sharing"",""เชียงใหม่!J109"")+IMPORTRANGE(""https://docs.google.com/spreadsheets/d/1W6MnUbDkMi6xHnHko_XkFDO9kkuL6Wqyc-6OCDFjW9I/e"&amp;"dit?usp=sharing"",""ตาก!J109"")+IMPORTRANGE(""https://docs.google.com/spreadsheets/d/1IQAWArduLkta9LpYo4a_ULsyqdta6-6aDDiwpUnQT6c/edit?usp=sharing"",""นครสวรรค์!J109"")+IMPORTRANGE(""https://docs.google.com/spreadsheets/d/10s13Sk5xrltsiR-Zkbmk5DwIaDIKO8Xl"&amp;"bJAfqyT7Gvg/edit?usp=sharing"",""น่าน!J109"")+IMPORTRANGE(""https://docs.google.com/spreadsheets/d/1uu4nAn4Dbi1XREnLKKotUANlKXa7yCgRcgq8HEzQYW8/edit?usp=sharing"",""พะเยา!J109"")+IMPORTRANGE(""https://docs.google.com/spreadsheets/d/1xfJKIQxVOaPDIICqsflNlL"&amp;"u3JacTDk1FP9RH4phX7mI/edit?usp=sharing"",""พิจิตร!J109"")+IMPORTRANGE(""https://docs.google.com/spreadsheets/d/1JtRfZkJMHtEhI5RdRHxYUG4FIZHqKDpNyIuN7A1Q0_k/edit?usp=sharing"",""พิษณุโลก!J109"")+IMPORTRANGE(""https://docs.google.com/spreadsheets/d/1xlcVZWU"&amp;"Nn6SuWm0c307h32SiGkd9BaeQWlAktfD3KO8/edit?usp=sharing"",""เพชรบูรณ์!J109"")+IMPORTRANGE(""https://docs.google.com/spreadsheets/d/1lOVebEIsI9qjGXl6EX66luk7wiuP2tBaryw-wKvv4e0/edit?usp=sharing"",""แพร่!J109"")+IMPORTRANGE(""https://docs.google.com/spreadshe"&amp;"ets/d/1dQrvX0vEcN7Gu0fnZ0B5S90AeR19zth4XlExFBeExMY/edit?usp=sharing"",""แม่ฮ่องสอน!J109"")+IMPORTRANGE(""https://docs.google.com/spreadsheets/d/1DY4XTNNwjluuxqdfdn6qvOSlMRrZqUtmYcZR0ttFiG4/edit?usp=sharing"",""ลำปาง!J109"")+IMPORTRANGE(""https://docs.goog"&amp;"le.com/spreadsheets/d/1ICwG78r0OFT8biBlxnBF8r7she7gNSzOvJ958PWT09c/edit?usp=sharing"",""ลำพูน!J109"")+IMPORTRANGE(""https://docs.google.com/spreadsheets/d/1B0f2xJpZUC6Z0xXnqKlZtEPzsf6L84eP1r1Q15seqRM/edit?usp=sharing"",""สุโขทัย!J109"")+IMPORTRANGE(""http"&amp;"s://docs.google.com/spreadsheets/d/1v0b9pFQCsKUVExMei7AgY2yQkdeNQvtOssygGsXbiKo/edit?usp=sharing"",""อุตรดิตถ์!J109"")+IMPORTRANGE(""https://docs.google.com/spreadsheets/d/1UsNK1e-WWiCo2PvGqdNfdme4m17_Ezd3J69EeeiQPD0/edit?usp=sharing"",""อุทัยธานี!J109"")"),0)</f>
        <v>0</v>
      </c>
      <c r="K109" s="59">
        <f t="shared" ca="1" si="55"/>
        <v>0</v>
      </c>
      <c r="L109" s="58"/>
      <c r="M109" s="58"/>
      <c r="N109" s="58"/>
      <c r="O109" s="165"/>
      <c r="P109" s="165"/>
    </row>
    <row r="110" spans="1:16" ht="19.5" hidden="1" x14ac:dyDescent="0.3">
      <c r="A110" s="184"/>
      <c r="B110" s="185"/>
      <c r="C110" s="185"/>
      <c r="D110" s="187"/>
      <c r="E110" s="195"/>
      <c r="F110" s="187"/>
      <c r="G110" s="188"/>
      <c r="H110" s="188"/>
      <c r="I110" s="196">
        <f ca="1">IFERROR(__xludf.DUMMYFUNCTION("IMPORTRANGE(""https://docs.google.com/spreadsheets/d/1jTcq05yEiRwXcBMLjiodW9e4biSGYWAHcDj22rKWQ3s/edit?usp=sharing"",""กำแพงเพชร!I238"")+IMPORTRANGE(""https://docs.google.com/spreadsheets/d/1KS0zmDSZPk8KnTAbGN-Xk6MtX1YRZD0ldgdt20K4CRk/edit?usp=sharing"","&amp;"""เชียงราย!I238"")+IMPORTRANGE(""https://docs.google.com/spreadsheets/d/1rEDxBtusbi64tE0zunoIbsTVV16HeL0oJ6trHQeQ7K8/edit?usp=sharing"",""เชียงใหม่!I238"")+IMPORTRANGE(""https://docs.google.com/spreadsheets/d/1W6MnUbDkMi6xHnHko_XkFDO9kkuL6Wqyc-6OCDFjW9I/e"&amp;"dit?usp=sharing"",""ตาก!I238"")+IMPORTRANGE(""https://docs.google.com/spreadsheets/d/1IQAWArduLkta9LpYo4a_ULsyqdta6-6aDDiwpUnQT6c/edit?usp=sharing"",""นครสวรรค์!I238"")+IMPORTRANGE(""https://docs.google.com/spreadsheets/d/10s13Sk5xrltsiR-Zkbmk5DwIaDIKO8Xl"&amp;"bJAfqyT7Gvg/edit?usp=sharing"",""น่าน!I238"")+IMPORTRANGE(""https://docs.google.com/spreadsheets/d/1uu4nAn4Dbi1XREnLKKotUANlKXa7yCgRcgq8HEzQYW8/edit?usp=sharing"",""พะเยา!I238"")+IMPORTRANGE(""https://docs.google.com/spreadsheets/d/1xfJKIQxVOaPDIICqsflNlL"&amp;"u3JacTDk1FP9RH4phX7mI/edit?usp=sharing"",""พิจิตร!I238"")+IMPORTRANGE(""https://docs.google.com/spreadsheets/d/1JtRfZkJMHtEhI5RdRHxYUG4FIZHqKDpNyIuN7A1Q0_k/edit?usp=sharing"",""พิษณุโลก!I238"")+IMPORTRANGE(""https://docs.google.com/spreadsheets/d/1xlcVZWU"&amp;"Nn6SuWm0c307h32SiGkd9BaeQWlAktfD3KO8/edit?usp=sharing"",""เพชรบูรณ์!I238"")+IMPORTRANGE(""https://docs.google.com/spreadsheets/d/1lOVebEIsI9qjGXl6EX66luk7wiuP2tBaryw-wKvv4e0/edit?usp=sharing"",""แพร่!I238"")+IMPORTRANGE(""https://docs.google.com/spreadshe"&amp;"ets/d/1dQrvX0vEcN7Gu0fnZ0B5S90AeR19zth4XlExFBeExMY/edit?usp=sharing"",""แม่ฮ่องสอน!I238"")+IMPORTRANGE(""https://docs.google.com/spreadsheets/d/1DY4XTNNwjluuxqdfdn6qvOSlMRrZqUtmYcZR0ttFiG4/edit?usp=sharing"",""ลำปาง!I238"")+IMPORTRANGE(""https://docs.goog"&amp;"le.com/spreadsheets/d/1ICwG78r0OFT8biBlxnBF8r7she7gNSzOvJ958PWT09c/edit?usp=sharing"",""ลำพูน!I238"")+IMPORTRANGE(""https://docs.google.com/spreadsheets/d/1B0f2xJpZUC6Z0xXnqKlZtEPzsf6L84eP1r1Q15seqRM/edit?usp=sharing"",""สุโขทัย!I238"")+IMPORTRANGE(""http"&amp;"s://docs.google.com/spreadsheets/d/1v0b9pFQCsKUVExMei7AgY2yQkdeNQvtOssygGsXbiKo/edit?usp=sharing"",""อุตรดิตถ์!I238"")+IMPORTRANGE(""https://docs.google.com/spreadsheets/d/1UsNK1e-WWiCo2PvGqdNfdme4m17_Ezd3J69EeeiQPD0/edit?usp=sharing"",""อุทัยธานี!I238"")"),210)</f>
        <v>210</v>
      </c>
      <c r="J110" s="197">
        <f ca="1">IFERROR(__xludf.DUMMYFUNCTION("IMPORTRANGE(""https://docs.google.com/spreadsheets/d/1jTcq05yEiRwXcBMLjiodW9e4biSGYWAHcDj22rKWQ3s/edit?usp=sharing"",""กำแพงเพชร!J238"")+IMPORTRANGE(""https://docs.google.com/spreadsheets/d/1KS0zmDSZPk8KnTAbGN-Xk6MtX1YRZD0ldgdt20K4CRk/edit?usp=sharing"","&amp;"""เชียงราย!J238"")+IMPORTRANGE(""https://docs.google.com/spreadsheets/d/1rEDxBtusbi64tE0zunoIbsTVV16HeL0oJ6trHQeQ7K8/edit?usp=sharing"",""เชียงใหม่!J238"")+IMPORTRANGE(""https://docs.google.com/spreadsheets/d/1W6MnUbDkMi6xHnHko_XkFDO9kkuL6Wqyc-6OCDFjW9I/e"&amp;"dit?usp=sharing"",""ตาก!J238"")+IMPORTRANGE(""https://docs.google.com/spreadsheets/d/1IQAWArduLkta9LpYo4a_ULsyqdta6-6aDDiwpUnQT6c/edit?usp=sharing"",""นครสวรรค์!J238"")+IMPORTRANGE(""https://docs.google.com/spreadsheets/d/10s13Sk5xrltsiR-Zkbmk5DwIaDIKO8Xl"&amp;"bJAfqyT7Gvg/edit?usp=sharing"",""น่าน!J238"")+IMPORTRANGE(""https://docs.google.com/spreadsheets/d/1uu4nAn4Dbi1XREnLKKotUANlKXa7yCgRcgq8HEzQYW8/edit?usp=sharing"",""พะเยา!J238"")+IMPORTRANGE(""https://docs.google.com/spreadsheets/d/1xfJKIQxVOaPDIICqsflNlL"&amp;"u3JacTDk1FP9RH4phX7mI/edit?usp=sharing"",""พิจิตร!J238"")+IMPORTRANGE(""https://docs.google.com/spreadsheets/d/1JtRfZkJMHtEhI5RdRHxYUG4FIZHqKDpNyIuN7A1Q0_k/edit?usp=sharing"",""พิษณุโลก!J238"")+IMPORTRANGE(""https://docs.google.com/spreadsheets/d/1xlcVZWU"&amp;"Nn6SuWm0c307h32SiGkd9BaeQWlAktfD3KO8/edit?usp=sharing"",""เพชรบูรณ์!J238"")+IMPORTRANGE(""https://docs.google.com/spreadsheets/d/1lOVebEIsI9qjGXl6EX66luk7wiuP2tBaryw-wKvv4e0/edit?usp=sharing"",""แพร่!J238"")+IMPORTRANGE(""https://docs.google.com/spreadshe"&amp;"ets/d/1dQrvX0vEcN7Gu0fnZ0B5S90AeR19zth4XlExFBeExMY/edit?usp=sharing"",""แม่ฮ่องสอน!J238"")+IMPORTRANGE(""https://docs.google.com/spreadsheets/d/1DY4XTNNwjluuxqdfdn6qvOSlMRrZqUtmYcZR0ttFiG4/edit?usp=sharing"",""ลำปาง!J238"")+IMPORTRANGE(""https://docs.goog"&amp;"le.com/spreadsheets/d/1ICwG78r0OFT8biBlxnBF8r7she7gNSzOvJ958PWT09c/edit?usp=sharing"",""ลำพูน!J238"")+IMPORTRANGE(""https://docs.google.com/spreadsheets/d/1B0f2xJpZUC6Z0xXnqKlZtEPzsf6L84eP1r1Q15seqRM/edit?usp=sharing"",""สุโขทัย!J238"")+IMPORTRANGE(""http"&amp;"s://docs.google.com/spreadsheets/d/1v0b9pFQCsKUVExMei7AgY2yQkdeNQvtOssygGsXbiKo/edit?usp=sharing"",""อุตรดิตถ์!J238"")+IMPORTRANGE(""https://docs.google.com/spreadsheets/d/1UsNK1e-WWiCo2PvGqdNfdme4m17_Ezd3J69EeeiQPD0/edit?usp=sharing"",""อุทัยธานี!J238"")"),10)</f>
        <v>10</v>
      </c>
      <c r="K110" s="198"/>
      <c r="L110" s="23"/>
      <c r="M110" s="23"/>
      <c r="N110" s="23"/>
      <c r="O110" s="23"/>
      <c r="P110" s="23"/>
    </row>
    <row r="111" spans="1:16" ht="18.75" hidden="1" x14ac:dyDescent="0.25">
      <c r="A111" s="184"/>
      <c r="B111" s="185"/>
      <c r="C111" s="185"/>
      <c r="D111" s="187"/>
      <c r="E111" s="186"/>
      <c r="F111" s="187"/>
      <c r="G111" s="188"/>
      <c r="H111" s="189"/>
      <c r="I111" s="190">
        <f ca="1">IFERROR(__xludf.DUMMYFUNCTION("IMPORTRANGE(""https://docs.google.com/spreadsheets/d/1jTcq05yEiRwXcBMLjiodW9e4biSGYWAHcDj22rKWQ3s/edit?usp=sharing"",""กำแพงเพชร!I238"")+IMPORTRANGE(""https://docs.google.com/spreadsheets/d/1KS0zmDSZPk8KnTAbGN-Xk6MtX1YRZD0ldgdt20K4CRk/edit?usp=sharing"","&amp;"""เชียงราย!I238"")+IMPORTRANGE(""https://docs.google.com/spreadsheets/d/1rEDxBtusbi64tE0zunoIbsTVV16HeL0oJ6trHQeQ7K8/edit?usp=sharing"",""เชียงใหม่!I238"")+IMPORTRANGE(""https://docs.google.com/spreadsheets/d/1W6MnUbDkMi6xHnHko_XkFDO9kkuL6Wqyc-6OCDFjW9I/e"&amp;"dit?usp=sharing"",""ตาก!I238"")+IMPORTRANGE(""https://docs.google.com/spreadsheets/d/1IQAWArduLkta9LpYo4a_ULsyqdta6-6aDDiwpUnQT6c/edit?usp=sharing"",""นครสวรรค์!I238"")+IMPORTRANGE(""https://docs.google.com/spreadsheets/d/10s13Sk5xrltsiR-Zkbmk5DwIaDIKO8Xl"&amp;"bJAfqyT7Gvg/edit?usp=sharing"",""น่าน!I238"")+IMPORTRANGE(""https://docs.google.com/spreadsheets/d/1uu4nAn4Dbi1XREnLKKotUANlKXa7yCgRcgq8HEzQYW8/edit?usp=sharing"",""พะเยา!I238"")+IMPORTRANGE(""https://docs.google.com/spreadsheets/d/1xfJKIQxVOaPDIICqsflNlL"&amp;"u3JacTDk1FP9RH4phX7mI/edit?usp=sharing"",""พิจิตร!I238"")+IMPORTRANGE(""https://docs.google.com/spreadsheets/d/1JtRfZkJMHtEhI5RdRHxYUG4FIZHqKDpNyIuN7A1Q0_k/edit?usp=sharing"",""พิษณุโลก!I238"")+IMPORTRANGE(""https://docs.google.com/spreadsheets/d/1xlcVZWU"&amp;"Nn6SuWm0c307h32SiGkd9BaeQWlAktfD3KO8/edit?usp=sharing"",""เพชรบูรณ์!I238"")+IMPORTRANGE(""https://docs.google.com/spreadsheets/d/1lOVebEIsI9qjGXl6EX66luk7wiuP2tBaryw-wKvv4e0/edit?usp=sharing"",""แพร่!I238"")+IMPORTRANGE(""https://docs.google.com/spreadshe"&amp;"ets/d/1dQrvX0vEcN7Gu0fnZ0B5S90AeR19zth4XlExFBeExMY/edit?usp=sharing"",""แม่ฮ่องสอน!I238"")+IMPORTRANGE(""https://docs.google.com/spreadsheets/d/1DY4XTNNwjluuxqdfdn6qvOSlMRrZqUtmYcZR0ttFiG4/edit?usp=sharing"",""ลำปาง!I238"")+IMPORTRANGE(""https://docs.goog"&amp;"le.com/spreadsheets/d/1ICwG78r0OFT8biBlxnBF8r7she7gNSzOvJ958PWT09c/edit?usp=sharing"",""ลำพูน!I238"")+IMPORTRANGE(""https://docs.google.com/spreadsheets/d/1B0f2xJpZUC6Z0xXnqKlZtEPzsf6L84eP1r1Q15seqRM/edit?usp=sharing"",""สุโขทัย!I238"")+IMPORTRANGE(""http"&amp;"s://docs.google.com/spreadsheets/d/1v0b9pFQCsKUVExMei7AgY2yQkdeNQvtOssygGsXbiKo/edit?usp=sharing"",""อุตรดิตถ์!I238"")+IMPORTRANGE(""https://docs.google.com/spreadsheets/d/1UsNK1e-WWiCo2PvGqdNfdme4m17_Ezd3J69EeeiQPD0/edit?usp=sharing"",""อุทัยธานี!I238"")"),210)</f>
        <v>210</v>
      </c>
      <c r="J111" s="199">
        <f ca="1">IFERROR(__xludf.DUMMYFUNCTION("IMPORTRANGE(""https://docs.google.com/spreadsheets/d/1jTcq05yEiRwXcBMLjiodW9e4biSGYWAHcDj22rKWQ3s/edit?usp=sharing"",""กำแพงเพชร!J238"")+IMPORTRANGE(""https://docs.google.com/spreadsheets/d/1KS0zmDSZPk8KnTAbGN-Xk6MtX1YRZD0ldgdt20K4CRk/edit?usp=sharing"","&amp;"""เชียงราย!J238"")+IMPORTRANGE(""https://docs.google.com/spreadsheets/d/1rEDxBtusbi64tE0zunoIbsTVV16HeL0oJ6trHQeQ7K8/edit?usp=sharing"",""เชียงใหม่!J238"")+IMPORTRANGE(""https://docs.google.com/spreadsheets/d/1W6MnUbDkMi6xHnHko_XkFDO9kkuL6Wqyc-6OCDFjW9I/e"&amp;"dit?usp=sharing"",""ตาก!J238"")+IMPORTRANGE(""https://docs.google.com/spreadsheets/d/1IQAWArduLkta9LpYo4a_ULsyqdta6-6aDDiwpUnQT6c/edit?usp=sharing"",""นครสวรรค์!J238"")+IMPORTRANGE(""https://docs.google.com/spreadsheets/d/10s13Sk5xrltsiR-Zkbmk5DwIaDIKO8Xl"&amp;"bJAfqyT7Gvg/edit?usp=sharing"",""น่าน!J238"")+IMPORTRANGE(""https://docs.google.com/spreadsheets/d/1uu4nAn4Dbi1XREnLKKotUANlKXa7yCgRcgq8HEzQYW8/edit?usp=sharing"",""พะเยา!J238"")+IMPORTRANGE(""https://docs.google.com/spreadsheets/d/1xfJKIQxVOaPDIICqsflNlL"&amp;"u3JacTDk1FP9RH4phX7mI/edit?usp=sharing"",""พิจิตร!J238"")+IMPORTRANGE(""https://docs.google.com/spreadsheets/d/1JtRfZkJMHtEhI5RdRHxYUG4FIZHqKDpNyIuN7A1Q0_k/edit?usp=sharing"",""พิษณุโลก!J238"")+IMPORTRANGE(""https://docs.google.com/spreadsheets/d/1xlcVZWU"&amp;"Nn6SuWm0c307h32SiGkd9BaeQWlAktfD3KO8/edit?usp=sharing"",""เพชรบูรณ์!J238"")+IMPORTRANGE(""https://docs.google.com/spreadsheets/d/1lOVebEIsI9qjGXl6EX66luk7wiuP2tBaryw-wKvv4e0/edit?usp=sharing"",""แพร่!J238"")+IMPORTRANGE(""https://docs.google.com/spreadshe"&amp;"ets/d/1dQrvX0vEcN7Gu0fnZ0B5S90AeR19zth4XlExFBeExMY/edit?usp=sharing"",""แม่ฮ่องสอน!J238"")+IMPORTRANGE(""https://docs.google.com/spreadsheets/d/1DY4XTNNwjluuxqdfdn6qvOSlMRrZqUtmYcZR0ttFiG4/edit?usp=sharing"",""ลำปาง!J238"")+IMPORTRANGE(""https://docs.goog"&amp;"le.com/spreadsheets/d/1ICwG78r0OFT8biBlxnBF8r7she7gNSzOvJ958PWT09c/edit?usp=sharing"",""ลำพูน!J238"")+IMPORTRANGE(""https://docs.google.com/spreadsheets/d/1B0f2xJpZUC6Z0xXnqKlZtEPzsf6L84eP1r1Q15seqRM/edit?usp=sharing"",""สุโขทัย!J238"")+IMPORTRANGE(""http"&amp;"s://docs.google.com/spreadsheets/d/1v0b9pFQCsKUVExMei7AgY2yQkdeNQvtOssygGsXbiKo/edit?usp=sharing"",""อุตรดิตถ์!J238"")+IMPORTRANGE(""https://docs.google.com/spreadsheets/d/1UsNK1e-WWiCo2PvGqdNfdme4m17_Ezd3J69EeeiQPD0/edit?usp=sharing"",""อุทัยธานี!J238"")"),10)</f>
        <v>10</v>
      </c>
      <c r="K111" s="191"/>
      <c r="L111" s="23"/>
      <c r="M111" s="23"/>
      <c r="N111" s="23"/>
      <c r="O111" s="23"/>
      <c r="P111" s="23"/>
    </row>
    <row r="112" spans="1:16" ht="18.75" hidden="1" x14ac:dyDescent="0.25">
      <c r="A112" s="184"/>
      <c r="B112" s="185"/>
      <c r="C112" s="185"/>
      <c r="D112" s="187"/>
      <c r="E112" s="200"/>
      <c r="F112" s="187"/>
      <c r="G112" s="188"/>
      <c r="H112" s="189"/>
      <c r="I112" s="190">
        <f ca="1">IFERROR(__xludf.DUMMYFUNCTION("IMPORTRANGE(""https://docs.google.com/spreadsheets/d/1jTcq05yEiRwXcBMLjiodW9e4biSGYWAHcDj22rKWQ3s/edit?usp=sharing"",""กำแพงเพชร!I238"")+IMPORTRANGE(""https://docs.google.com/spreadsheets/d/1KS0zmDSZPk8KnTAbGN-Xk6MtX1YRZD0ldgdt20K4CRk/edit?usp=sharing"","&amp;"""เชียงราย!I238"")+IMPORTRANGE(""https://docs.google.com/spreadsheets/d/1rEDxBtusbi64tE0zunoIbsTVV16HeL0oJ6trHQeQ7K8/edit?usp=sharing"",""เชียงใหม่!I238"")+IMPORTRANGE(""https://docs.google.com/spreadsheets/d/1W6MnUbDkMi6xHnHko_XkFDO9kkuL6Wqyc-6OCDFjW9I/e"&amp;"dit?usp=sharing"",""ตาก!I238"")+IMPORTRANGE(""https://docs.google.com/spreadsheets/d/1IQAWArduLkta9LpYo4a_ULsyqdta6-6aDDiwpUnQT6c/edit?usp=sharing"",""นครสวรรค์!I238"")+IMPORTRANGE(""https://docs.google.com/spreadsheets/d/10s13Sk5xrltsiR-Zkbmk5DwIaDIKO8Xl"&amp;"bJAfqyT7Gvg/edit?usp=sharing"",""น่าน!I238"")+IMPORTRANGE(""https://docs.google.com/spreadsheets/d/1uu4nAn4Dbi1XREnLKKotUANlKXa7yCgRcgq8HEzQYW8/edit?usp=sharing"",""พะเยา!I238"")+IMPORTRANGE(""https://docs.google.com/spreadsheets/d/1xfJKIQxVOaPDIICqsflNlL"&amp;"u3JacTDk1FP9RH4phX7mI/edit?usp=sharing"",""พิจิตร!I238"")+IMPORTRANGE(""https://docs.google.com/spreadsheets/d/1JtRfZkJMHtEhI5RdRHxYUG4FIZHqKDpNyIuN7A1Q0_k/edit?usp=sharing"",""พิษณุโลก!I238"")+IMPORTRANGE(""https://docs.google.com/spreadsheets/d/1xlcVZWU"&amp;"Nn6SuWm0c307h32SiGkd9BaeQWlAktfD3KO8/edit?usp=sharing"",""เพชรบูรณ์!I238"")+IMPORTRANGE(""https://docs.google.com/spreadsheets/d/1lOVebEIsI9qjGXl6EX66luk7wiuP2tBaryw-wKvv4e0/edit?usp=sharing"",""แพร่!I238"")+IMPORTRANGE(""https://docs.google.com/spreadshe"&amp;"ets/d/1dQrvX0vEcN7Gu0fnZ0B5S90AeR19zth4XlExFBeExMY/edit?usp=sharing"",""แม่ฮ่องสอน!I238"")+IMPORTRANGE(""https://docs.google.com/spreadsheets/d/1DY4XTNNwjluuxqdfdn6qvOSlMRrZqUtmYcZR0ttFiG4/edit?usp=sharing"",""ลำปาง!I238"")+IMPORTRANGE(""https://docs.goog"&amp;"le.com/spreadsheets/d/1ICwG78r0OFT8biBlxnBF8r7she7gNSzOvJ958PWT09c/edit?usp=sharing"",""ลำพูน!I238"")+IMPORTRANGE(""https://docs.google.com/spreadsheets/d/1B0f2xJpZUC6Z0xXnqKlZtEPzsf6L84eP1r1Q15seqRM/edit?usp=sharing"",""สุโขทัย!I238"")+IMPORTRANGE(""http"&amp;"s://docs.google.com/spreadsheets/d/1v0b9pFQCsKUVExMei7AgY2yQkdeNQvtOssygGsXbiKo/edit?usp=sharing"",""อุตรดิตถ์!I238"")+IMPORTRANGE(""https://docs.google.com/spreadsheets/d/1UsNK1e-WWiCo2PvGqdNfdme4m17_Ezd3J69EeeiQPD0/edit?usp=sharing"",""อุทัยธานี!I238"")"),210)</f>
        <v>210</v>
      </c>
      <c r="J112" s="199">
        <f ca="1">IFERROR(__xludf.DUMMYFUNCTION("IMPORTRANGE(""https://docs.google.com/spreadsheets/d/1jTcq05yEiRwXcBMLjiodW9e4biSGYWAHcDj22rKWQ3s/edit?usp=sharing"",""กำแพงเพชร!J238"")+IMPORTRANGE(""https://docs.google.com/spreadsheets/d/1KS0zmDSZPk8KnTAbGN-Xk6MtX1YRZD0ldgdt20K4CRk/edit?usp=sharing"","&amp;"""เชียงราย!J238"")+IMPORTRANGE(""https://docs.google.com/spreadsheets/d/1rEDxBtusbi64tE0zunoIbsTVV16HeL0oJ6trHQeQ7K8/edit?usp=sharing"",""เชียงใหม่!J238"")+IMPORTRANGE(""https://docs.google.com/spreadsheets/d/1W6MnUbDkMi6xHnHko_XkFDO9kkuL6Wqyc-6OCDFjW9I/e"&amp;"dit?usp=sharing"",""ตาก!J238"")+IMPORTRANGE(""https://docs.google.com/spreadsheets/d/1IQAWArduLkta9LpYo4a_ULsyqdta6-6aDDiwpUnQT6c/edit?usp=sharing"",""นครสวรรค์!J238"")+IMPORTRANGE(""https://docs.google.com/spreadsheets/d/10s13Sk5xrltsiR-Zkbmk5DwIaDIKO8Xl"&amp;"bJAfqyT7Gvg/edit?usp=sharing"",""น่าน!J238"")+IMPORTRANGE(""https://docs.google.com/spreadsheets/d/1uu4nAn4Dbi1XREnLKKotUANlKXa7yCgRcgq8HEzQYW8/edit?usp=sharing"",""พะเยา!J238"")+IMPORTRANGE(""https://docs.google.com/spreadsheets/d/1xfJKIQxVOaPDIICqsflNlL"&amp;"u3JacTDk1FP9RH4phX7mI/edit?usp=sharing"",""พิจิตร!J238"")+IMPORTRANGE(""https://docs.google.com/spreadsheets/d/1JtRfZkJMHtEhI5RdRHxYUG4FIZHqKDpNyIuN7A1Q0_k/edit?usp=sharing"",""พิษณุโลก!J238"")+IMPORTRANGE(""https://docs.google.com/spreadsheets/d/1xlcVZWU"&amp;"Nn6SuWm0c307h32SiGkd9BaeQWlAktfD3KO8/edit?usp=sharing"",""เพชรบูรณ์!J238"")+IMPORTRANGE(""https://docs.google.com/spreadsheets/d/1lOVebEIsI9qjGXl6EX66luk7wiuP2tBaryw-wKvv4e0/edit?usp=sharing"",""แพร่!J238"")+IMPORTRANGE(""https://docs.google.com/spreadshe"&amp;"ets/d/1dQrvX0vEcN7Gu0fnZ0B5S90AeR19zth4XlExFBeExMY/edit?usp=sharing"",""แม่ฮ่องสอน!J238"")+IMPORTRANGE(""https://docs.google.com/spreadsheets/d/1DY4XTNNwjluuxqdfdn6qvOSlMRrZqUtmYcZR0ttFiG4/edit?usp=sharing"",""ลำปาง!J238"")+IMPORTRANGE(""https://docs.goog"&amp;"le.com/spreadsheets/d/1ICwG78r0OFT8biBlxnBF8r7she7gNSzOvJ958PWT09c/edit?usp=sharing"",""ลำพูน!J238"")+IMPORTRANGE(""https://docs.google.com/spreadsheets/d/1B0f2xJpZUC6Z0xXnqKlZtEPzsf6L84eP1r1Q15seqRM/edit?usp=sharing"",""สุโขทัย!J238"")+IMPORTRANGE(""http"&amp;"s://docs.google.com/spreadsheets/d/1v0b9pFQCsKUVExMei7AgY2yQkdeNQvtOssygGsXbiKo/edit?usp=sharing"",""อุตรดิตถ์!J238"")+IMPORTRANGE(""https://docs.google.com/spreadsheets/d/1UsNK1e-WWiCo2PvGqdNfdme4m17_Ezd3J69EeeiQPD0/edit?usp=sharing"",""อุทัยธานี!J238"")"),10)</f>
        <v>10</v>
      </c>
      <c r="K112" s="191"/>
      <c r="L112" s="23"/>
      <c r="M112" s="23"/>
      <c r="N112" s="23"/>
      <c r="O112" s="23"/>
      <c r="P112" s="23"/>
    </row>
    <row r="113" spans="1:16" ht="19.5" hidden="1" x14ac:dyDescent="0.3">
      <c r="A113" s="184"/>
      <c r="B113" s="185"/>
      <c r="C113" s="185"/>
      <c r="D113" s="187"/>
      <c r="E113" s="195"/>
      <c r="F113" s="187"/>
      <c r="G113" s="188"/>
      <c r="H113" s="188"/>
      <c r="I113" s="196">
        <f ca="1">IFERROR(__xludf.DUMMYFUNCTION("IMPORTRANGE(""https://docs.google.com/spreadsheets/d/1jTcq05yEiRwXcBMLjiodW9e4biSGYWAHcDj22rKWQ3s/edit?usp=sharing"",""กำแพงเพชร!I238"")+IMPORTRANGE(""https://docs.google.com/spreadsheets/d/1KS0zmDSZPk8KnTAbGN-Xk6MtX1YRZD0ldgdt20K4CRk/edit?usp=sharing"","&amp;"""เชียงราย!I238"")+IMPORTRANGE(""https://docs.google.com/spreadsheets/d/1rEDxBtusbi64tE0zunoIbsTVV16HeL0oJ6trHQeQ7K8/edit?usp=sharing"",""เชียงใหม่!I238"")+IMPORTRANGE(""https://docs.google.com/spreadsheets/d/1W6MnUbDkMi6xHnHko_XkFDO9kkuL6Wqyc-6OCDFjW9I/e"&amp;"dit?usp=sharing"",""ตาก!I238"")+IMPORTRANGE(""https://docs.google.com/spreadsheets/d/1IQAWArduLkta9LpYo4a_ULsyqdta6-6aDDiwpUnQT6c/edit?usp=sharing"",""นครสวรรค์!I238"")+IMPORTRANGE(""https://docs.google.com/spreadsheets/d/10s13Sk5xrltsiR-Zkbmk5DwIaDIKO8Xl"&amp;"bJAfqyT7Gvg/edit?usp=sharing"",""น่าน!I238"")+IMPORTRANGE(""https://docs.google.com/spreadsheets/d/1uu4nAn4Dbi1XREnLKKotUANlKXa7yCgRcgq8HEzQYW8/edit?usp=sharing"",""พะเยา!I238"")+IMPORTRANGE(""https://docs.google.com/spreadsheets/d/1xfJKIQxVOaPDIICqsflNlL"&amp;"u3JacTDk1FP9RH4phX7mI/edit?usp=sharing"",""พิจิตร!I238"")+IMPORTRANGE(""https://docs.google.com/spreadsheets/d/1JtRfZkJMHtEhI5RdRHxYUG4FIZHqKDpNyIuN7A1Q0_k/edit?usp=sharing"",""พิษณุโลก!I238"")+IMPORTRANGE(""https://docs.google.com/spreadsheets/d/1xlcVZWU"&amp;"Nn6SuWm0c307h32SiGkd9BaeQWlAktfD3KO8/edit?usp=sharing"",""เพชรบูรณ์!I238"")+IMPORTRANGE(""https://docs.google.com/spreadsheets/d/1lOVebEIsI9qjGXl6EX66luk7wiuP2tBaryw-wKvv4e0/edit?usp=sharing"",""แพร่!I238"")+IMPORTRANGE(""https://docs.google.com/spreadshe"&amp;"ets/d/1dQrvX0vEcN7Gu0fnZ0B5S90AeR19zth4XlExFBeExMY/edit?usp=sharing"",""แม่ฮ่องสอน!I238"")+IMPORTRANGE(""https://docs.google.com/spreadsheets/d/1DY4XTNNwjluuxqdfdn6qvOSlMRrZqUtmYcZR0ttFiG4/edit?usp=sharing"",""ลำปาง!I238"")+IMPORTRANGE(""https://docs.goog"&amp;"le.com/spreadsheets/d/1ICwG78r0OFT8biBlxnBF8r7she7gNSzOvJ958PWT09c/edit?usp=sharing"",""ลำพูน!I238"")+IMPORTRANGE(""https://docs.google.com/spreadsheets/d/1B0f2xJpZUC6Z0xXnqKlZtEPzsf6L84eP1r1Q15seqRM/edit?usp=sharing"",""สุโขทัย!I238"")+IMPORTRANGE(""http"&amp;"s://docs.google.com/spreadsheets/d/1v0b9pFQCsKUVExMei7AgY2yQkdeNQvtOssygGsXbiKo/edit?usp=sharing"",""อุตรดิตถ์!I238"")+IMPORTRANGE(""https://docs.google.com/spreadsheets/d/1UsNK1e-WWiCo2PvGqdNfdme4m17_Ezd3J69EeeiQPD0/edit?usp=sharing"",""อุทัยธานี!I238"")"),210)</f>
        <v>210</v>
      </c>
      <c r="J113" s="197">
        <f ca="1">IFERROR(__xludf.DUMMYFUNCTION("IMPORTRANGE(""https://docs.google.com/spreadsheets/d/1jTcq05yEiRwXcBMLjiodW9e4biSGYWAHcDj22rKWQ3s/edit?usp=sharing"",""กำแพงเพชร!J238"")+IMPORTRANGE(""https://docs.google.com/spreadsheets/d/1KS0zmDSZPk8KnTAbGN-Xk6MtX1YRZD0ldgdt20K4CRk/edit?usp=sharing"","&amp;"""เชียงราย!J238"")+IMPORTRANGE(""https://docs.google.com/spreadsheets/d/1rEDxBtusbi64tE0zunoIbsTVV16HeL0oJ6trHQeQ7K8/edit?usp=sharing"",""เชียงใหม่!J238"")+IMPORTRANGE(""https://docs.google.com/spreadsheets/d/1W6MnUbDkMi6xHnHko_XkFDO9kkuL6Wqyc-6OCDFjW9I/e"&amp;"dit?usp=sharing"",""ตาก!J238"")+IMPORTRANGE(""https://docs.google.com/spreadsheets/d/1IQAWArduLkta9LpYo4a_ULsyqdta6-6aDDiwpUnQT6c/edit?usp=sharing"",""นครสวรรค์!J238"")+IMPORTRANGE(""https://docs.google.com/spreadsheets/d/10s13Sk5xrltsiR-Zkbmk5DwIaDIKO8Xl"&amp;"bJAfqyT7Gvg/edit?usp=sharing"",""น่าน!J238"")+IMPORTRANGE(""https://docs.google.com/spreadsheets/d/1uu4nAn4Dbi1XREnLKKotUANlKXa7yCgRcgq8HEzQYW8/edit?usp=sharing"",""พะเยา!J238"")+IMPORTRANGE(""https://docs.google.com/spreadsheets/d/1xfJKIQxVOaPDIICqsflNlL"&amp;"u3JacTDk1FP9RH4phX7mI/edit?usp=sharing"",""พิจิตร!J238"")+IMPORTRANGE(""https://docs.google.com/spreadsheets/d/1JtRfZkJMHtEhI5RdRHxYUG4FIZHqKDpNyIuN7A1Q0_k/edit?usp=sharing"",""พิษณุโลก!J238"")+IMPORTRANGE(""https://docs.google.com/spreadsheets/d/1xlcVZWU"&amp;"Nn6SuWm0c307h32SiGkd9BaeQWlAktfD3KO8/edit?usp=sharing"",""เพชรบูรณ์!J238"")+IMPORTRANGE(""https://docs.google.com/spreadsheets/d/1lOVebEIsI9qjGXl6EX66luk7wiuP2tBaryw-wKvv4e0/edit?usp=sharing"",""แพร่!J238"")+IMPORTRANGE(""https://docs.google.com/spreadshe"&amp;"ets/d/1dQrvX0vEcN7Gu0fnZ0B5S90AeR19zth4XlExFBeExMY/edit?usp=sharing"",""แม่ฮ่องสอน!J238"")+IMPORTRANGE(""https://docs.google.com/spreadsheets/d/1DY4XTNNwjluuxqdfdn6qvOSlMRrZqUtmYcZR0ttFiG4/edit?usp=sharing"",""ลำปาง!J238"")+IMPORTRANGE(""https://docs.goog"&amp;"le.com/spreadsheets/d/1ICwG78r0OFT8biBlxnBF8r7she7gNSzOvJ958PWT09c/edit?usp=sharing"",""ลำพูน!J238"")+IMPORTRANGE(""https://docs.google.com/spreadsheets/d/1B0f2xJpZUC6Z0xXnqKlZtEPzsf6L84eP1r1Q15seqRM/edit?usp=sharing"",""สุโขทัย!J238"")+IMPORTRANGE(""http"&amp;"s://docs.google.com/spreadsheets/d/1v0b9pFQCsKUVExMei7AgY2yQkdeNQvtOssygGsXbiKo/edit?usp=sharing"",""อุตรดิตถ์!J238"")+IMPORTRANGE(""https://docs.google.com/spreadsheets/d/1UsNK1e-WWiCo2PvGqdNfdme4m17_Ezd3J69EeeiQPD0/edit?usp=sharing"",""อุทัยธานี!J238"")"),10)</f>
        <v>10</v>
      </c>
      <c r="K113" s="198"/>
      <c r="L113" s="23"/>
      <c r="M113" s="23"/>
      <c r="N113" s="23"/>
      <c r="O113" s="23"/>
      <c r="P113" s="23"/>
    </row>
    <row r="114" spans="1:16" ht="18.75" hidden="1" x14ac:dyDescent="0.25">
      <c r="A114" s="184"/>
      <c r="B114" s="185"/>
      <c r="C114" s="185"/>
      <c r="D114" s="187"/>
      <c r="E114" s="186"/>
      <c r="F114" s="187"/>
      <c r="G114" s="188"/>
      <c r="H114" s="189"/>
      <c r="I114" s="190">
        <f ca="1">IFERROR(__xludf.DUMMYFUNCTION("IMPORTRANGE(""https://docs.google.com/spreadsheets/d/1jTcq05yEiRwXcBMLjiodW9e4biSGYWAHcDj22rKWQ3s/edit?usp=sharing"",""กำแพงเพชร!I238"")+IMPORTRANGE(""https://docs.google.com/spreadsheets/d/1KS0zmDSZPk8KnTAbGN-Xk6MtX1YRZD0ldgdt20K4CRk/edit?usp=sharing"","&amp;"""เชียงราย!I238"")+IMPORTRANGE(""https://docs.google.com/spreadsheets/d/1rEDxBtusbi64tE0zunoIbsTVV16HeL0oJ6trHQeQ7K8/edit?usp=sharing"",""เชียงใหม่!I238"")+IMPORTRANGE(""https://docs.google.com/spreadsheets/d/1W6MnUbDkMi6xHnHko_XkFDO9kkuL6Wqyc-6OCDFjW9I/e"&amp;"dit?usp=sharing"",""ตาก!I238"")+IMPORTRANGE(""https://docs.google.com/spreadsheets/d/1IQAWArduLkta9LpYo4a_ULsyqdta6-6aDDiwpUnQT6c/edit?usp=sharing"",""นครสวรรค์!I238"")+IMPORTRANGE(""https://docs.google.com/spreadsheets/d/10s13Sk5xrltsiR-Zkbmk5DwIaDIKO8Xl"&amp;"bJAfqyT7Gvg/edit?usp=sharing"",""น่าน!I238"")+IMPORTRANGE(""https://docs.google.com/spreadsheets/d/1uu4nAn4Dbi1XREnLKKotUANlKXa7yCgRcgq8HEzQYW8/edit?usp=sharing"",""พะเยา!I238"")+IMPORTRANGE(""https://docs.google.com/spreadsheets/d/1xfJKIQxVOaPDIICqsflNlL"&amp;"u3JacTDk1FP9RH4phX7mI/edit?usp=sharing"",""พิจิตร!I238"")+IMPORTRANGE(""https://docs.google.com/spreadsheets/d/1JtRfZkJMHtEhI5RdRHxYUG4FIZHqKDpNyIuN7A1Q0_k/edit?usp=sharing"",""พิษณุโลก!I238"")+IMPORTRANGE(""https://docs.google.com/spreadsheets/d/1xlcVZWU"&amp;"Nn6SuWm0c307h32SiGkd9BaeQWlAktfD3KO8/edit?usp=sharing"",""เพชรบูรณ์!I238"")+IMPORTRANGE(""https://docs.google.com/spreadsheets/d/1lOVebEIsI9qjGXl6EX66luk7wiuP2tBaryw-wKvv4e0/edit?usp=sharing"",""แพร่!I238"")+IMPORTRANGE(""https://docs.google.com/spreadshe"&amp;"ets/d/1dQrvX0vEcN7Gu0fnZ0B5S90AeR19zth4XlExFBeExMY/edit?usp=sharing"",""แม่ฮ่องสอน!I238"")+IMPORTRANGE(""https://docs.google.com/spreadsheets/d/1DY4XTNNwjluuxqdfdn6qvOSlMRrZqUtmYcZR0ttFiG4/edit?usp=sharing"",""ลำปาง!I238"")+IMPORTRANGE(""https://docs.goog"&amp;"le.com/spreadsheets/d/1ICwG78r0OFT8biBlxnBF8r7she7gNSzOvJ958PWT09c/edit?usp=sharing"",""ลำพูน!I238"")+IMPORTRANGE(""https://docs.google.com/spreadsheets/d/1B0f2xJpZUC6Z0xXnqKlZtEPzsf6L84eP1r1Q15seqRM/edit?usp=sharing"",""สุโขทัย!I238"")+IMPORTRANGE(""http"&amp;"s://docs.google.com/spreadsheets/d/1v0b9pFQCsKUVExMei7AgY2yQkdeNQvtOssygGsXbiKo/edit?usp=sharing"",""อุตรดิตถ์!I238"")+IMPORTRANGE(""https://docs.google.com/spreadsheets/d/1UsNK1e-WWiCo2PvGqdNfdme4m17_Ezd3J69EeeiQPD0/edit?usp=sharing"",""อุทัยธานี!I238"")"),210)</f>
        <v>210</v>
      </c>
      <c r="J114" s="199">
        <f ca="1">IFERROR(__xludf.DUMMYFUNCTION("IMPORTRANGE(""https://docs.google.com/spreadsheets/d/1jTcq05yEiRwXcBMLjiodW9e4biSGYWAHcDj22rKWQ3s/edit?usp=sharing"",""กำแพงเพชร!J238"")+IMPORTRANGE(""https://docs.google.com/spreadsheets/d/1KS0zmDSZPk8KnTAbGN-Xk6MtX1YRZD0ldgdt20K4CRk/edit?usp=sharing"","&amp;"""เชียงราย!J238"")+IMPORTRANGE(""https://docs.google.com/spreadsheets/d/1rEDxBtusbi64tE0zunoIbsTVV16HeL0oJ6trHQeQ7K8/edit?usp=sharing"",""เชียงใหม่!J238"")+IMPORTRANGE(""https://docs.google.com/spreadsheets/d/1W6MnUbDkMi6xHnHko_XkFDO9kkuL6Wqyc-6OCDFjW9I/e"&amp;"dit?usp=sharing"",""ตาก!J238"")+IMPORTRANGE(""https://docs.google.com/spreadsheets/d/1IQAWArduLkta9LpYo4a_ULsyqdta6-6aDDiwpUnQT6c/edit?usp=sharing"",""นครสวรรค์!J238"")+IMPORTRANGE(""https://docs.google.com/spreadsheets/d/10s13Sk5xrltsiR-Zkbmk5DwIaDIKO8Xl"&amp;"bJAfqyT7Gvg/edit?usp=sharing"",""น่าน!J238"")+IMPORTRANGE(""https://docs.google.com/spreadsheets/d/1uu4nAn4Dbi1XREnLKKotUANlKXa7yCgRcgq8HEzQYW8/edit?usp=sharing"",""พะเยา!J238"")+IMPORTRANGE(""https://docs.google.com/spreadsheets/d/1xfJKIQxVOaPDIICqsflNlL"&amp;"u3JacTDk1FP9RH4phX7mI/edit?usp=sharing"",""พิจิตร!J238"")+IMPORTRANGE(""https://docs.google.com/spreadsheets/d/1JtRfZkJMHtEhI5RdRHxYUG4FIZHqKDpNyIuN7A1Q0_k/edit?usp=sharing"",""พิษณุโลก!J238"")+IMPORTRANGE(""https://docs.google.com/spreadsheets/d/1xlcVZWU"&amp;"Nn6SuWm0c307h32SiGkd9BaeQWlAktfD3KO8/edit?usp=sharing"",""เพชรบูรณ์!J238"")+IMPORTRANGE(""https://docs.google.com/spreadsheets/d/1lOVebEIsI9qjGXl6EX66luk7wiuP2tBaryw-wKvv4e0/edit?usp=sharing"",""แพร่!J238"")+IMPORTRANGE(""https://docs.google.com/spreadshe"&amp;"ets/d/1dQrvX0vEcN7Gu0fnZ0B5S90AeR19zth4XlExFBeExMY/edit?usp=sharing"",""แม่ฮ่องสอน!J238"")+IMPORTRANGE(""https://docs.google.com/spreadsheets/d/1DY4XTNNwjluuxqdfdn6qvOSlMRrZqUtmYcZR0ttFiG4/edit?usp=sharing"",""ลำปาง!J238"")+IMPORTRANGE(""https://docs.goog"&amp;"le.com/spreadsheets/d/1ICwG78r0OFT8biBlxnBF8r7she7gNSzOvJ958PWT09c/edit?usp=sharing"",""ลำพูน!J238"")+IMPORTRANGE(""https://docs.google.com/spreadsheets/d/1B0f2xJpZUC6Z0xXnqKlZtEPzsf6L84eP1r1Q15seqRM/edit?usp=sharing"",""สุโขทัย!J238"")+IMPORTRANGE(""http"&amp;"s://docs.google.com/spreadsheets/d/1v0b9pFQCsKUVExMei7AgY2yQkdeNQvtOssygGsXbiKo/edit?usp=sharing"",""อุตรดิตถ์!J238"")+IMPORTRANGE(""https://docs.google.com/spreadsheets/d/1UsNK1e-WWiCo2PvGqdNfdme4m17_Ezd3J69EeeiQPD0/edit?usp=sharing"",""อุทัยธานี!J238"")"),10)</f>
        <v>10</v>
      </c>
      <c r="K114" s="191"/>
      <c r="L114" s="23"/>
      <c r="M114" s="23"/>
      <c r="N114" s="23"/>
      <c r="O114" s="23"/>
      <c r="P114" s="23"/>
    </row>
    <row r="115" spans="1:16" ht="18.75" hidden="1" x14ac:dyDescent="0.25">
      <c r="A115" s="184"/>
      <c r="B115" s="185"/>
      <c r="C115" s="185"/>
      <c r="D115" s="187"/>
      <c r="E115" s="201"/>
      <c r="F115" s="187"/>
      <c r="G115" s="188"/>
      <c r="H115" s="189"/>
      <c r="I115" s="190">
        <f ca="1">IFERROR(__xludf.DUMMYFUNCTION("IMPORTRANGE(""https://docs.google.com/spreadsheets/d/1jTcq05yEiRwXcBMLjiodW9e4biSGYWAHcDj22rKWQ3s/edit?usp=sharing"",""กำแพงเพชร!I238"")+IMPORTRANGE(""https://docs.google.com/spreadsheets/d/1KS0zmDSZPk8KnTAbGN-Xk6MtX1YRZD0ldgdt20K4CRk/edit?usp=sharing"","&amp;"""เชียงราย!I238"")+IMPORTRANGE(""https://docs.google.com/spreadsheets/d/1rEDxBtusbi64tE0zunoIbsTVV16HeL0oJ6trHQeQ7K8/edit?usp=sharing"",""เชียงใหม่!I238"")+IMPORTRANGE(""https://docs.google.com/spreadsheets/d/1W6MnUbDkMi6xHnHko_XkFDO9kkuL6Wqyc-6OCDFjW9I/e"&amp;"dit?usp=sharing"",""ตาก!I238"")+IMPORTRANGE(""https://docs.google.com/spreadsheets/d/1IQAWArduLkta9LpYo4a_ULsyqdta6-6aDDiwpUnQT6c/edit?usp=sharing"",""นครสวรรค์!I238"")+IMPORTRANGE(""https://docs.google.com/spreadsheets/d/10s13Sk5xrltsiR-Zkbmk5DwIaDIKO8Xl"&amp;"bJAfqyT7Gvg/edit?usp=sharing"",""น่าน!I238"")+IMPORTRANGE(""https://docs.google.com/spreadsheets/d/1uu4nAn4Dbi1XREnLKKotUANlKXa7yCgRcgq8HEzQYW8/edit?usp=sharing"",""พะเยา!I238"")+IMPORTRANGE(""https://docs.google.com/spreadsheets/d/1xfJKIQxVOaPDIICqsflNlL"&amp;"u3JacTDk1FP9RH4phX7mI/edit?usp=sharing"",""พิจิตร!I238"")+IMPORTRANGE(""https://docs.google.com/spreadsheets/d/1JtRfZkJMHtEhI5RdRHxYUG4FIZHqKDpNyIuN7A1Q0_k/edit?usp=sharing"",""พิษณุโลก!I238"")+IMPORTRANGE(""https://docs.google.com/spreadsheets/d/1xlcVZWU"&amp;"Nn6SuWm0c307h32SiGkd9BaeQWlAktfD3KO8/edit?usp=sharing"",""เพชรบูรณ์!I238"")+IMPORTRANGE(""https://docs.google.com/spreadsheets/d/1lOVebEIsI9qjGXl6EX66luk7wiuP2tBaryw-wKvv4e0/edit?usp=sharing"",""แพร่!I238"")+IMPORTRANGE(""https://docs.google.com/spreadshe"&amp;"ets/d/1dQrvX0vEcN7Gu0fnZ0B5S90AeR19zth4XlExFBeExMY/edit?usp=sharing"",""แม่ฮ่องสอน!I238"")+IMPORTRANGE(""https://docs.google.com/spreadsheets/d/1DY4XTNNwjluuxqdfdn6qvOSlMRrZqUtmYcZR0ttFiG4/edit?usp=sharing"",""ลำปาง!I238"")+IMPORTRANGE(""https://docs.goog"&amp;"le.com/spreadsheets/d/1ICwG78r0OFT8biBlxnBF8r7she7gNSzOvJ958PWT09c/edit?usp=sharing"",""ลำพูน!I238"")+IMPORTRANGE(""https://docs.google.com/spreadsheets/d/1B0f2xJpZUC6Z0xXnqKlZtEPzsf6L84eP1r1Q15seqRM/edit?usp=sharing"",""สุโขทัย!I238"")+IMPORTRANGE(""http"&amp;"s://docs.google.com/spreadsheets/d/1v0b9pFQCsKUVExMei7AgY2yQkdeNQvtOssygGsXbiKo/edit?usp=sharing"",""อุตรดิตถ์!I238"")+IMPORTRANGE(""https://docs.google.com/spreadsheets/d/1UsNK1e-WWiCo2PvGqdNfdme4m17_Ezd3J69EeeiQPD0/edit?usp=sharing"",""อุทัยธานี!I238"")"),210)</f>
        <v>210</v>
      </c>
      <c r="J115" s="199">
        <f ca="1">IFERROR(__xludf.DUMMYFUNCTION("IMPORTRANGE(""https://docs.google.com/spreadsheets/d/1jTcq05yEiRwXcBMLjiodW9e4biSGYWAHcDj22rKWQ3s/edit?usp=sharing"",""กำแพงเพชร!J238"")+IMPORTRANGE(""https://docs.google.com/spreadsheets/d/1KS0zmDSZPk8KnTAbGN-Xk6MtX1YRZD0ldgdt20K4CRk/edit?usp=sharing"","&amp;"""เชียงราย!J238"")+IMPORTRANGE(""https://docs.google.com/spreadsheets/d/1rEDxBtusbi64tE0zunoIbsTVV16HeL0oJ6trHQeQ7K8/edit?usp=sharing"",""เชียงใหม่!J238"")+IMPORTRANGE(""https://docs.google.com/spreadsheets/d/1W6MnUbDkMi6xHnHko_XkFDO9kkuL6Wqyc-6OCDFjW9I/e"&amp;"dit?usp=sharing"",""ตาก!J238"")+IMPORTRANGE(""https://docs.google.com/spreadsheets/d/1IQAWArduLkta9LpYo4a_ULsyqdta6-6aDDiwpUnQT6c/edit?usp=sharing"",""นครสวรรค์!J238"")+IMPORTRANGE(""https://docs.google.com/spreadsheets/d/10s13Sk5xrltsiR-Zkbmk5DwIaDIKO8Xl"&amp;"bJAfqyT7Gvg/edit?usp=sharing"",""น่าน!J238"")+IMPORTRANGE(""https://docs.google.com/spreadsheets/d/1uu4nAn4Dbi1XREnLKKotUANlKXa7yCgRcgq8HEzQYW8/edit?usp=sharing"",""พะเยา!J238"")+IMPORTRANGE(""https://docs.google.com/spreadsheets/d/1xfJKIQxVOaPDIICqsflNlL"&amp;"u3JacTDk1FP9RH4phX7mI/edit?usp=sharing"",""พิจิตร!J238"")+IMPORTRANGE(""https://docs.google.com/spreadsheets/d/1JtRfZkJMHtEhI5RdRHxYUG4FIZHqKDpNyIuN7A1Q0_k/edit?usp=sharing"",""พิษณุโลก!J238"")+IMPORTRANGE(""https://docs.google.com/spreadsheets/d/1xlcVZWU"&amp;"Nn6SuWm0c307h32SiGkd9BaeQWlAktfD3KO8/edit?usp=sharing"",""เพชรบูรณ์!J238"")+IMPORTRANGE(""https://docs.google.com/spreadsheets/d/1lOVebEIsI9qjGXl6EX66luk7wiuP2tBaryw-wKvv4e0/edit?usp=sharing"",""แพร่!J238"")+IMPORTRANGE(""https://docs.google.com/spreadshe"&amp;"ets/d/1dQrvX0vEcN7Gu0fnZ0B5S90AeR19zth4XlExFBeExMY/edit?usp=sharing"",""แม่ฮ่องสอน!J238"")+IMPORTRANGE(""https://docs.google.com/spreadsheets/d/1DY4XTNNwjluuxqdfdn6qvOSlMRrZqUtmYcZR0ttFiG4/edit?usp=sharing"",""ลำปาง!J238"")+IMPORTRANGE(""https://docs.goog"&amp;"le.com/spreadsheets/d/1ICwG78r0OFT8biBlxnBF8r7she7gNSzOvJ958PWT09c/edit?usp=sharing"",""ลำพูน!J238"")+IMPORTRANGE(""https://docs.google.com/spreadsheets/d/1B0f2xJpZUC6Z0xXnqKlZtEPzsf6L84eP1r1Q15seqRM/edit?usp=sharing"",""สุโขทัย!J238"")+IMPORTRANGE(""http"&amp;"s://docs.google.com/spreadsheets/d/1v0b9pFQCsKUVExMei7AgY2yQkdeNQvtOssygGsXbiKo/edit?usp=sharing"",""อุตรดิตถ์!J238"")+IMPORTRANGE(""https://docs.google.com/spreadsheets/d/1UsNK1e-WWiCo2PvGqdNfdme4m17_Ezd3J69EeeiQPD0/edit?usp=sharing"",""อุทัยธานี!J238"")"),10)</f>
        <v>10</v>
      </c>
      <c r="K115" s="191"/>
      <c r="L115" s="23"/>
      <c r="M115" s="23"/>
      <c r="N115" s="23"/>
      <c r="O115" s="23"/>
      <c r="P115" s="23"/>
    </row>
    <row r="116" spans="1:16" ht="18.75" hidden="1" x14ac:dyDescent="0.25">
      <c r="A116" s="184"/>
      <c r="B116" s="185"/>
      <c r="C116" s="185"/>
      <c r="D116" s="187"/>
      <c r="E116" s="201"/>
      <c r="F116" s="187"/>
      <c r="G116" s="188"/>
      <c r="H116" s="189"/>
      <c r="I116" s="190">
        <f ca="1">IFERROR(__xludf.DUMMYFUNCTION("IMPORTRANGE(""https://docs.google.com/spreadsheets/d/1jTcq05yEiRwXcBMLjiodW9e4biSGYWAHcDj22rKWQ3s/edit?usp=sharing"",""กำแพงเพชร!I238"")+IMPORTRANGE(""https://docs.google.com/spreadsheets/d/1KS0zmDSZPk8KnTAbGN-Xk6MtX1YRZD0ldgdt20K4CRk/edit?usp=sharing"","&amp;"""เชียงราย!I238"")+IMPORTRANGE(""https://docs.google.com/spreadsheets/d/1rEDxBtusbi64tE0zunoIbsTVV16HeL0oJ6trHQeQ7K8/edit?usp=sharing"",""เชียงใหม่!I238"")+IMPORTRANGE(""https://docs.google.com/spreadsheets/d/1W6MnUbDkMi6xHnHko_XkFDO9kkuL6Wqyc-6OCDFjW9I/e"&amp;"dit?usp=sharing"",""ตาก!I238"")+IMPORTRANGE(""https://docs.google.com/spreadsheets/d/1IQAWArduLkta9LpYo4a_ULsyqdta6-6aDDiwpUnQT6c/edit?usp=sharing"",""นครสวรรค์!I238"")+IMPORTRANGE(""https://docs.google.com/spreadsheets/d/10s13Sk5xrltsiR-Zkbmk5DwIaDIKO8Xl"&amp;"bJAfqyT7Gvg/edit?usp=sharing"",""น่าน!I238"")+IMPORTRANGE(""https://docs.google.com/spreadsheets/d/1uu4nAn4Dbi1XREnLKKotUANlKXa7yCgRcgq8HEzQYW8/edit?usp=sharing"",""พะเยา!I238"")+IMPORTRANGE(""https://docs.google.com/spreadsheets/d/1xfJKIQxVOaPDIICqsflNlL"&amp;"u3JacTDk1FP9RH4phX7mI/edit?usp=sharing"",""พิจิตร!I238"")+IMPORTRANGE(""https://docs.google.com/spreadsheets/d/1JtRfZkJMHtEhI5RdRHxYUG4FIZHqKDpNyIuN7A1Q0_k/edit?usp=sharing"",""พิษณุโลก!I238"")+IMPORTRANGE(""https://docs.google.com/spreadsheets/d/1xlcVZWU"&amp;"Nn6SuWm0c307h32SiGkd9BaeQWlAktfD3KO8/edit?usp=sharing"",""เพชรบูรณ์!I238"")+IMPORTRANGE(""https://docs.google.com/spreadsheets/d/1lOVebEIsI9qjGXl6EX66luk7wiuP2tBaryw-wKvv4e0/edit?usp=sharing"",""แพร่!I238"")+IMPORTRANGE(""https://docs.google.com/spreadshe"&amp;"ets/d/1dQrvX0vEcN7Gu0fnZ0B5S90AeR19zth4XlExFBeExMY/edit?usp=sharing"",""แม่ฮ่องสอน!I238"")+IMPORTRANGE(""https://docs.google.com/spreadsheets/d/1DY4XTNNwjluuxqdfdn6qvOSlMRrZqUtmYcZR0ttFiG4/edit?usp=sharing"",""ลำปาง!I238"")+IMPORTRANGE(""https://docs.goog"&amp;"le.com/spreadsheets/d/1ICwG78r0OFT8biBlxnBF8r7she7gNSzOvJ958PWT09c/edit?usp=sharing"",""ลำพูน!I238"")+IMPORTRANGE(""https://docs.google.com/spreadsheets/d/1B0f2xJpZUC6Z0xXnqKlZtEPzsf6L84eP1r1Q15seqRM/edit?usp=sharing"",""สุโขทัย!I238"")+IMPORTRANGE(""http"&amp;"s://docs.google.com/spreadsheets/d/1v0b9pFQCsKUVExMei7AgY2yQkdeNQvtOssygGsXbiKo/edit?usp=sharing"",""อุตรดิตถ์!I238"")+IMPORTRANGE(""https://docs.google.com/spreadsheets/d/1UsNK1e-WWiCo2PvGqdNfdme4m17_Ezd3J69EeeiQPD0/edit?usp=sharing"",""อุทัยธานี!I238"")"),210)</f>
        <v>210</v>
      </c>
      <c r="J116" s="199">
        <f ca="1">IFERROR(__xludf.DUMMYFUNCTION("IMPORTRANGE(""https://docs.google.com/spreadsheets/d/1jTcq05yEiRwXcBMLjiodW9e4biSGYWAHcDj22rKWQ3s/edit?usp=sharing"",""กำแพงเพชร!J238"")+IMPORTRANGE(""https://docs.google.com/spreadsheets/d/1KS0zmDSZPk8KnTAbGN-Xk6MtX1YRZD0ldgdt20K4CRk/edit?usp=sharing"","&amp;"""เชียงราย!J238"")+IMPORTRANGE(""https://docs.google.com/spreadsheets/d/1rEDxBtusbi64tE0zunoIbsTVV16HeL0oJ6trHQeQ7K8/edit?usp=sharing"",""เชียงใหม่!J238"")+IMPORTRANGE(""https://docs.google.com/spreadsheets/d/1W6MnUbDkMi6xHnHko_XkFDO9kkuL6Wqyc-6OCDFjW9I/e"&amp;"dit?usp=sharing"",""ตาก!J238"")+IMPORTRANGE(""https://docs.google.com/spreadsheets/d/1IQAWArduLkta9LpYo4a_ULsyqdta6-6aDDiwpUnQT6c/edit?usp=sharing"",""นครสวรรค์!J238"")+IMPORTRANGE(""https://docs.google.com/spreadsheets/d/10s13Sk5xrltsiR-Zkbmk5DwIaDIKO8Xl"&amp;"bJAfqyT7Gvg/edit?usp=sharing"",""น่าน!J238"")+IMPORTRANGE(""https://docs.google.com/spreadsheets/d/1uu4nAn4Dbi1XREnLKKotUANlKXa7yCgRcgq8HEzQYW8/edit?usp=sharing"",""พะเยา!J238"")+IMPORTRANGE(""https://docs.google.com/spreadsheets/d/1xfJKIQxVOaPDIICqsflNlL"&amp;"u3JacTDk1FP9RH4phX7mI/edit?usp=sharing"",""พิจิตร!J238"")+IMPORTRANGE(""https://docs.google.com/spreadsheets/d/1JtRfZkJMHtEhI5RdRHxYUG4FIZHqKDpNyIuN7A1Q0_k/edit?usp=sharing"",""พิษณุโลก!J238"")+IMPORTRANGE(""https://docs.google.com/spreadsheets/d/1xlcVZWU"&amp;"Nn6SuWm0c307h32SiGkd9BaeQWlAktfD3KO8/edit?usp=sharing"",""เพชรบูรณ์!J238"")+IMPORTRANGE(""https://docs.google.com/spreadsheets/d/1lOVebEIsI9qjGXl6EX66luk7wiuP2tBaryw-wKvv4e0/edit?usp=sharing"",""แพร่!J238"")+IMPORTRANGE(""https://docs.google.com/spreadshe"&amp;"ets/d/1dQrvX0vEcN7Gu0fnZ0B5S90AeR19zth4XlExFBeExMY/edit?usp=sharing"",""แม่ฮ่องสอน!J238"")+IMPORTRANGE(""https://docs.google.com/spreadsheets/d/1DY4XTNNwjluuxqdfdn6qvOSlMRrZqUtmYcZR0ttFiG4/edit?usp=sharing"",""ลำปาง!J238"")+IMPORTRANGE(""https://docs.goog"&amp;"le.com/spreadsheets/d/1ICwG78r0OFT8biBlxnBF8r7she7gNSzOvJ958PWT09c/edit?usp=sharing"",""ลำพูน!J238"")+IMPORTRANGE(""https://docs.google.com/spreadsheets/d/1B0f2xJpZUC6Z0xXnqKlZtEPzsf6L84eP1r1Q15seqRM/edit?usp=sharing"",""สุโขทัย!J238"")+IMPORTRANGE(""http"&amp;"s://docs.google.com/spreadsheets/d/1v0b9pFQCsKUVExMei7AgY2yQkdeNQvtOssygGsXbiKo/edit?usp=sharing"",""อุตรดิตถ์!J238"")+IMPORTRANGE(""https://docs.google.com/spreadsheets/d/1UsNK1e-WWiCo2PvGqdNfdme4m17_Ezd3J69EeeiQPD0/edit?usp=sharing"",""อุทัยธานี!J238"")"),10)</f>
        <v>10</v>
      </c>
      <c r="K116" s="191"/>
      <c r="L116" s="23"/>
      <c r="M116" s="23"/>
      <c r="N116" s="23"/>
      <c r="O116" s="23"/>
      <c r="P116" s="23"/>
    </row>
    <row r="117" spans="1:16" ht="18.75" x14ac:dyDescent="0.25">
      <c r="A117" s="167"/>
      <c r="B117" s="168"/>
      <c r="C117" s="168"/>
      <c r="D117" s="193" t="s">
        <v>48</v>
      </c>
      <c r="E117" s="174"/>
      <c r="F117" s="174"/>
      <c r="G117" s="172"/>
      <c r="H117" s="179" t="s">
        <v>33</v>
      </c>
      <c r="I117" s="180">
        <f ca="1">IFERROR(__xludf.DUMMYFUNCTION("IMPORTRANGE(""https://docs.google.com/spreadsheets/d/1jTcq05yEiRwXcBMLjiodW9e4biSGYWAHcDj22rKWQ3s/edit?usp=sharing"",""กำแพงเพชร!I117"")+IMPORTRANGE(""https://docs.google.com/spreadsheets/d/1KS0zmDSZPk8KnTAbGN-Xk6MtX1YRZD0ldgdt20K4CRk/edit?usp=sharing"","&amp;"""เชียงราย!I117"")+IMPORTRANGE(""https://docs.google.com/spreadsheets/d/1rEDxBtusbi64tE0zunoIbsTVV16HeL0oJ6trHQeQ7K8/edit?usp=sharing"",""เชียงใหม่!I117"")+IMPORTRANGE(""https://docs.google.com/spreadsheets/d/1W6MnUbDkMi6xHnHko_XkFDO9kkuL6Wqyc-6OCDFjW9I/e"&amp;"dit?usp=sharing"",""ตาก!I117"")+IMPORTRANGE(""https://docs.google.com/spreadsheets/d/1IQAWArduLkta9LpYo4a_ULsyqdta6-6aDDiwpUnQT6c/edit?usp=sharing"",""นครสวรรค์!I117"")+IMPORTRANGE(""https://docs.google.com/spreadsheets/d/10s13Sk5xrltsiR-Zkbmk5DwIaDIKO8Xl"&amp;"bJAfqyT7Gvg/edit?usp=sharing"",""น่าน!I117"")+IMPORTRANGE(""https://docs.google.com/spreadsheets/d/1uu4nAn4Dbi1XREnLKKotUANlKXa7yCgRcgq8HEzQYW8/edit?usp=sharing"",""พะเยา!I117"")+IMPORTRANGE(""https://docs.google.com/spreadsheets/d/1xfJKIQxVOaPDIICqsflNlL"&amp;"u3JacTDk1FP9RH4phX7mI/edit?usp=sharing"",""พิจิตร!I117"")+IMPORTRANGE(""https://docs.google.com/spreadsheets/d/1JtRfZkJMHtEhI5RdRHxYUG4FIZHqKDpNyIuN7A1Q0_k/edit?usp=sharing"",""พิษณุโลก!I117"")+IMPORTRANGE(""https://docs.google.com/spreadsheets/d/1xlcVZWU"&amp;"Nn6SuWm0c307h32SiGkd9BaeQWlAktfD3KO8/edit?usp=sharing"",""เพชรบูรณ์!I117"")+IMPORTRANGE(""https://docs.google.com/spreadsheets/d/1lOVebEIsI9qjGXl6EX66luk7wiuP2tBaryw-wKvv4e0/edit?usp=sharing"",""แพร่!I117"")+IMPORTRANGE(""https://docs.google.com/spreadshe"&amp;"ets/d/1dQrvX0vEcN7Gu0fnZ0B5S90AeR19zth4XlExFBeExMY/edit?usp=sharing"",""แม่ฮ่องสอน!I117"")+IMPORTRANGE(""https://docs.google.com/spreadsheets/d/1DY4XTNNwjluuxqdfdn6qvOSlMRrZqUtmYcZR0ttFiG4/edit?usp=sharing"",""ลำปาง!I117"")+IMPORTRANGE(""https://docs.goog"&amp;"le.com/spreadsheets/d/1ICwG78r0OFT8biBlxnBF8r7she7gNSzOvJ958PWT09c/edit?usp=sharing"",""ลำพูน!I117"")+IMPORTRANGE(""https://docs.google.com/spreadsheets/d/1B0f2xJpZUC6Z0xXnqKlZtEPzsf6L84eP1r1Q15seqRM/edit?usp=sharing"",""สุโขทัย!I117"")+IMPORTRANGE(""http"&amp;"s://docs.google.com/spreadsheets/d/1v0b9pFQCsKUVExMei7AgY2yQkdeNQvtOssygGsXbiKo/edit?usp=sharing"",""อุตรดิตถ์!I117"")+IMPORTRANGE(""https://docs.google.com/spreadsheets/d/1UsNK1e-WWiCo2PvGqdNfdme4m17_Ezd3J69EeeiQPD0/edit?usp=sharing"",""อุทัยธานี!I117"")"),10)</f>
        <v>10</v>
      </c>
      <c r="J117" s="181">
        <f ca="1">IFERROR(__xludf.DUMMYFUNCTION("IMPORTRANGE(""https://docs.google.com/spreadsheets/d/1jTcq05yEiRwXcBMLjiodW9e4biSGYWAHcDj22rKWQ3s/edit?usp=sharing"",""กำแพงเพชร!J117"")+IMPORTRANGE(""https://docs.google.com/spreadsheets/d/1KS0zmDSZPk8KnTAbGN-Xk6MtX1YRZD0ldgdt20K4CRk/edit?usp=sharing"","&amp;"""เชียงราย!J117"")+IMPORTRANGE(""https://docs.google.com/spreadsheets/d/1rEDxBtusbi64tE0zunoIbsTVV16HeL0oJ6trHQeQ7K8/edit?usp=sharing"",""เชียงใหม่!J117"")+IMPORTRANGE(""https://docs.google.com/spreadsheets/d/1W6MnUbDkMi6xHnHko_XkFDO9kkuL6Wqyc-6OCDFjW9I/e"&amp;"dit?usp=sharing"",""ตาก!J117"")+IMPORTRANGE(""https://docs.google.com/spreadsheets/d/1IQAWArduLkta9LpYo4a_ULsyqdta6-6aDDiwpUnQT6c/edit?usp=sharing"",""นครสวรรค์!J117"")+IMPORTRANGE(""https://docs.google.com/spreadsheets/d/10s13Sk5xrltsiR-Zkbmk5DwIaDIKO8Xl"&amp;"bJAfqyT7Gvg/edit?usp=sharing"",""น่าน!J117"")+IMPORTRANGE(""https://docs.google.com/spreadsheets/d/1uu4nAn4Dbi1XREnLKKotUANlKXa7yCgRcgq8HEzQYW8/edit?usp=sharing"",""พะเยา!J117"")+IMPORTRANGE(""https://docs.google.com/spreadsheets/d/1xfJKIQxVOaPDIICqsflNlL"&amp;"u3JacTDk1FP9RH4phX7mI/edit?usp=sharing"",""พิจิตร!J117"")+IMPORTRANGE(""https://docs.google.com/spreadsheets/d/1JtRfZkJMHtEhI5RdRHxYUG4FIZHqKDpNyIuN7A1Q0_k/edit?usp=sharing"",""พิษณุโลก!J117"")+IMPORTRANGE(""https://docs.google.com/spreadsheets/d/1xlcVZWU"&amp;"Nn6SuWm0c307h32SiGkd9BaeQWlAktfD3KO8/edit?usp=sharing"",""เพชรบูรณ์!J117"")+IMPORTRANGE(""https://docs.google.com/spreadsheets/d/1lOVebEIsI9qjGXl6EX66luk7wiuP2tBaryw-wKvv4e0/edit?usp=sharing"",""แพร่!J117"")+IMPORTRANGE(""https://docs.google.com/spreadshe"&amp;"ets/d/1dQrvX0vEcN7Gu0fnZ0B5S90AeR19zth4XlExFBeExMY/edit?usp=sharing"",""แม่ฮ่องสอน!J117"")+IMPORTRANGE(""https://docs.google.com/spreadsheets/d/1DY4XTNNwjluuxqdfdn6qvOSlMRrZqUtmYcZR0ttFiG4/edit?usp=sharing"",""ลำปาง!J117"")+IMPORTRANGE(""https://docs.goog"&amp;"le.com/spreadsheets/d/1ICwG78r0OFT8biBlxnBF8r7she7gNSzOvJ958PWT09c/edit?usp=sharing"",""ลำพูน!J117"")+IMPORTRANGE(""https://docs.google.com/spreadsheets/d/1B0f2xJpZUC6Z0xXnqKlZtEPzsf6L84eP1r1Q15seqRM/edit?usp=sharing"",""สุโขทัย!J117"")+IMPORTRANGE(""http"&amp;"s://docs.google.com/spreadsheets/d/1v0b9pFQCsKUVExMei7AgY2yQkdeNQvtOssygGsXbiKo/edit?usp=sharing"",""อุตรดิตถ์!J117"")+IMPORTRANGE(""https://docs.google.com/spreadsheets/d/1UsNK1e-WWiCo2PvGqdNfdme4m17_Ezd3J69EeeiQPD0/edit?usp=sharing"",""อุทัยธานี!J117"")"),0)</f>
        <v>0</v>
      </c>
      <c r="K117" s="59">
        <f ca="1">IF(I117&gt;0,J117*100/I117,0)</f>
        <v>0</v>
      </c>
      <c r="L117" s="58"/>
      <c r="M117" s="58"/>
      <c r="N117" s="58"/>
      <c r="O117" s="165"/>
      <c r="P117" s="165"/>
    </row>
    <row r="118" spans="1:16" ht="19.5" hidden="1" x14ac:dyDescent="0.3">
      <c r="A118" s="184"/>
      <c r="B118" s="185"/>
      <c r="C118" s="185"/>
      <c r="D118" s="185"/>
      <c r="E118" s="187"/>
      <c r="F118" s="187"/>
      <c r="G118" s="188"/>
      <c r="H118" s="202"/>
      <c r="I118" s="203"/>
      <c r="J118" s="203"/>
      <c r="K118" s="204"/>
      <c r="L118" s="23"/>
      <c r="M118" s="23"/>
      <c r="N118" s="23"/>
      <c r="O118" s="23"/>
      <c r="P118" s="23"/>
    </row>
    <row r="119" spans="1:16" ht="18.75" hidden="1" x14ac:dyDescent="0.25">
      <c r="A119" s="184"/>
      <c r="B119" s="185"/>
      <c r="C119" s="185"/>
      <c r="D119" s="185"/>
      <c r="E119" s="186"/>
      <c r="F119" s="187"/>
      <c r="G119" s="188"/>
      <c r="H119" s="189"/>
      <c r="I119" s="190"/>
      <c r="J119" s="190"/>
      <c r="K119" s="191"/>
      <c r="L119" s="23"/>
      <c r="M119" s="23"/>
      <c r="N119" s="23"/>
      <c r="O119" s="23"/>
      <c r="P119" s="23"/>
    </row>
    <row r="120" spans="1:16" ht="18.75" hidden="1" x14ac:dyDescent="0.25">
      <c r="A120" s="184"/>
      <c r="B120" s="185"/>
      <c r="C120" s="185"/>
      <c r="D120" s="185"/>
      <c r="E120" s="186"/>
      <c r="F120" s="187"/>
      <c r="G120" s="188"/>
      <c r="H120" s="189"/>
      <c r="I120" s="190"/>
      <c r="J120" s="190"/>
      <c r="K120" s="191"/>
      <c r="L120" s="23"/>
      <c r="M120" s="23"/>
      <c r="N120" s="23"/>
      <c r="O120" s="23"/>
      <c r="P120" s="23"/>
    </row>
    <row r="121" spans="1:16" ht="18.75" hidden="1" x14ac:dyDescent="0.25">
      <c r="A121" s="184"/>
      <c r="B121" s="185"/>
      <c r="C121" s="185"/>
      <c r="D121" s="185"/>
      <c r="E121" s="186"/>
      <c r="F121" s="187"/>
      <c r="G121" s="188"/>
      <c r="H121" s="189"/>
      <c r="I121" s="190"/>
      <c r="J121" s="190"/>
      <c r="K121" s="191"/>
      <c r="L121" s="23"/>
      <c r="M121" s="23"/>
      <c r="N121" s="23"/>
      <c r="O121" s="23"/>
      <c r="P121" s="23"/>
    </row>
    <row r="122" spans="1:16" ht="18.75" hidden="1" x14ac:dyDescent="0.25">
      <c r="A122" s="184"/>
      <c r="B122" s="185"/>
      <c r="C122" s="185"/>
      <c r="D122" s="185"/>
      <c r="E122" s="186"/>
      <c r="F122" s="187"/>
      <c r="G122" s="188"/>
      <c r="H122" s="189"/>
      <c r="I122" s="190"/>
      <c r="J122" s="190"/>
      <c r="K122" s="191"/>
      <c r="L122" s="23"/>
      <c r="M122" s="23"/>
      <c r="N122" s="23"/>
      <c r="O122" s="23"/>
      <c r="P122" s="23"/>
    </row>
    <row r="123" spans="1:16" ht="19.5" hidden="1" x14ac:dyDescent="0.3">
      <c r="A123" s="205" t="s">
        <v>49</v>
      </c>
      <c r="B123" s="17"/>
      <c r="C123" s="206"/>
      <c r="D123" s="17"/>
      <c r="E123" s="17"/>
      <c r="F123" s="17"/>
      <c r="G123" s="17"/>
      <c r="H123" s="17"/>
      <c r="I123" s="207"/>
      <c r="J123" s="207"/>
      <c r="K123" s="208"/>
      <c r="L123" s="23"/>
      <c r="M123" s="23"/>
      <c r="N123" s="23"/>
      <c r="O123" s="23"/>
      <c r="P123" s="23"/>
    </row>
    <row r="124" spans="1:16" ht="19.5" hidden="1" x14ac:dyDescent="0.3">
      <c r="A124" s="209"/>
      <c r="B124" s="210" t="s">
        <v>50</v>
      </c>
      <c r="C124" s="206"/>
      <c r="D124" s="211"/>
      <c r="E124" s="17"/>
      <c r="F124" s="17"/>
      <c r="G124" s="20"/>
      <c r="H124" s="20"/>
      <c r="I124" s="212">
        <v>0</v>
      </c>
      <c r="J124" s="212">
        <v>0</v>
      </c>
      <c r="K124" s="27">
        <v>0</v>
      </c>
      <c r="L124" s="23"/>
      <c r="M124" s="23"/>
      <c r="N124" s="23"/>
      <c r="O124" s="23"/>
      <c r="P124" s="23"/>
    </row>
    <row r="125" spans="1:16" ht="19.5" hidden="1" x14ac:dyDescent="0.3">
      <c r="A125" s="209"/>
      <c r="B125" s="17"/>
      <c r="C125" s="18" t="s">
        <v>16</v>
      </c>
      <c r="D125" s="19" t="s">
        <v>17</v>
      </c>
      <c r="E125" s="17"/>
      <c r="F125" s="17"/>
      <c r="G125" s="20"/>
      <c r="H125" s="213" t="s">
        <v>12</v>
      </c>
      <c r="I125" s="22"/>
      <c r="J125" s="22"/>
      <c r="K125" s="23"/>
      <c r="L125" s="24">
        <f t="shared" ref="L125:N125" ca="1" si="56">L126+L127</f>
        <v>0</v>
      </c>
      <c r="M125" s="24">
        <f t="shared" ca="1" si="56"/>
        <v>0</v>
      </c>
      <c r="N125" s="24">
        <f t="shared" ca="1" si="56"/>
        <v>0</v>
      </c>
      <c r="O125" s="24">
        <f t="shared" ref="O125:O133" ca="1" si="57">IF(L125&gt;0,N125*100/L125,0)</f>
        <v>0</v>
      </c>
      <c r="P125" s="24">
        <f t="shared" ref="P125:P133" ca="1" si="58">IF(M125&gt;0,N125*100/M125,0)</f>
        <v>0</v>
      </c>
    </row>
    <row r="126" spans="1:16" ht="18.75" hidden="1" x14ac:dyDescent="0.25">
      <c r="A126" s="214"/>
      <c r="B126" s="187"/>
      <c r="C126" s="187"/>
      <c r="D126" s="187"/>
      <c r="E126" s="186" t="s">
        <v>18</v>
      </c>
      <c r="F126" s="187"/>
      <c r="G126" s="188"/>
      <c r="H126" s="215" t="s">
        <v>12</v>
      </c>
      <c r="I126" s="196"/>
      <c r="J126" s="196"/>
      <c r="K126" s="198"/>
      <c r="L126" s="27">
        <f t="shared" ref="L126:N126" ca="1" si="59">L129+L132</f>
        <v>0</v>
      </c>
      <c r="M126" s="27">
        <f t="shared" ca="1" si="59"/>
        <v>0</v>
      </c>
      <c r="N126" s="27">
        <f t="shared" ca="1" si="59"/>
        <v>0</v>
      </c>
      <c r="O126" s="27">
        <f t="shared" ca="1" si="57"/>
        <v>0</v>
      </c>
      <c r="P126" s="27">
        <f t="shared" ca="1" si="58"/>
        <v>0</v>
      </c>
    </row>
    <row r="127" spans="1:16" ht="18.75" hidden="1" x14ac:dyDescent="0.25">
      <c r="A127" s="209"/>
      <c r="B127" s="17"/>
      <c r="C127" s="17"/>
      <c r="D127" s="17"/>
      <c r="E127" s="25" t="s">
        <v>19</v>
      </c>
      <c r="F127" s="17"/>
      <c r="G127" s="20"/>
      <c r="H127" s="216" t="s">
        <v>12</v>
      </c>
      <c r="I127" s="22"/>
      <c r="J127" s="22"/>
      <c r="K127" s="23"/>
      <c r="L127" s="27">
        <f t="shared" ref="L127:N127" ca="1" si="60">L130+L133</f>
        <v>0</v>
      </c>
      <c r="M127" s="27">
        <f t="shared" ca="1" si="60"/>
        <v>0</v>
      </c>
      <c r="N127" s="27">
        <f t="shared" ca="1" si="60"/>
        <v>0</v>
      </c>
      <c r="O127" s="27">
        <f t="shared" ca="1" si="57"/>
        <v>0</v>
      </c>
      <c r="P127" s="27">
        <f t="shared" ca="1" si="58"/>
        <v>0</v>
      </c>
    </row>
    <row r="128" spans="1:16" ht="18.75" hidden="1" x14ac:dyDescent="0.25">
      <c r="A128" s="209"/>
      <c r="B128" s="17"/>
      <c r="C128" s="17"/>
      <c r="D128" s="28" t="s">
        <v>20</v>
      </c>
      <c r="E128" s="17"/>
      <c r="F128" s="17"/>
      <c r="G128" s="20"/>
      <c r="H128" s="217" t="s">
        <v>12</v>
      </c>
      <c r="I128" s="22"/>
      <c r="J128" s="22"/>
      <c r="K128" s="23"/>
      <c r="L128" s="27">
        <f t="shared" ref="L128:N128" ca="1" si="61">L129+L130</f>
        <v>0</v>
      </c>
      <c r="M128" s="27">
        <f t="shared" ca="1" si="61"/>
        <v>0</v>
      </c>
      <c r="N128" s="27">
        <f t="shared" ca="1" si="61"/>
        <v>0</v>
      </c>
      <c r="O128" s="27">
        <f t="shared" ca="1" si="57"/>
        <v>0</v>
      </c>
      <c r="P128" s="27">
        <f t="shared" ca="1" si="58"/>
        <v>0</v>
      </c>
    </row>
    <row r="129" spans="1:16" ht="18.75" hidden="1" x14ac:dyDescent="0.25">
      <c r="A129" s="214"/>
      <c r="B129" s="187"/>
      <c r="C129" s="187"/>
      <c r="D129" s="187"/>
      <c r="E129" s="186" t="s">
        <v>34</v>
      </c>
      <c r="F129" s="187"/>
      <c r="G129" s="188"/>
      <c r="H129" s="218" t="s">
        <v>12</v>
      </c>
      <c r="I129" s="196"/>
      <c r="J129" s="196"/>
      <c r="K129" s="198"/>
      <c r="L129" s="27">
        <f ca="1">IFERROR(__xludf.DUMMYFUNCTION("IMPORTRANGE(""https://docs.google.com/spreadsheets/d/1-uDff_7J0KD5mKrp0Vvzr7lt3OU09vwQwhkpOPPYv2Y/edit?usp=sharing"",""งบพรบ!BG9"")"),0)</f>
        <v>0</v>
      </c>
      <c r="M129" s="27">
        <f ca="1">IFERROR(__xludf.DUMMYFUNCTION("IMPORTRANGE(""https://docs.google.com/spreadsheets/d/1-uDff_7J0KD5mKrp0Vvzr7lt3OU09vwQwhkpOPPYv2Y/edit?usp=sharing"",""งบพรบ!BL9"")"),0)</f>
        <v>0</v>
      </c>
      <c r="N129" s="27">
        <f ca="1">IFERROR(__xludf.DUMMYFUNCTION("IMPORTRANGE(""https://docs.google.com/spreadsheets/d/1-uDff_7J0KD5mKrp0Vvzr7lt3OU09vwQwhkpOPPYv2Y/edit?usp=sharing"",""งบพรบ!BN9"")"),0)</f>
        <v>0</v>
      </c>
      <c r="O129" s="27">
        <f t="shared" ca="1" si="57"/>
        <v>0</v>
      </c>
      <c r="P129" s="27">
        <f t="shared" ca="1" si="58"/>
        <v>0</v>
      </c>
    </row>
    <row r="130" spans="1:16" ht="18.75" hidden="1" x14ac:dyDescent="0.25">
      <c r="A130" s="209"/>
      <c r="B130" s="17"/>
      <c r="C130" s="17"/>
      <c r="D130" s="17"/>
      <c r="E130" s="25" t="s">
        <v>35</v>
      </c>
      <c r="F130" s="17"/>
      <c r="G130" s="20"/>
      <c r="H130" s="217" t="s">
        <v>12</v>
      </c>
      <c r="I130" s="22"/>
      <c r="J130" s="22"/>
      <c r="K130" s="23"/>
      <c r="L130" s="27">
        <f ca="1">IFERROR(__xludf.DUMMYFUNCTION("IMPORTRANGE(""https://docs.google.com/spreadsheets/d/1-uDff_7J0KD5mKrp0Vvzr7lt3OU09vwQwhkpOPPYv2Y/edit?usp=sharing"",""งบพรบ!BG8"")"),0)</f>
        <v>0</v>
      </c>
      <c r="M130" s="27">
        <f ca="1">IFERROR(__xludf.DUMMYFUNCTION("IMPORTRANGE(""https://docs.google.com/spreadsheets/d/1-uDff_7J0KD5mKrp0Vvzr7lt3OU09vwQwhkpOPPYv2Y/edit?usp=sharing"",""งบพรบ!BL8"")"),0)</f>
        <v>0</v>
      </c>
      <c r="N130" s="27">
        <f ca="1">IFERROR(__xludf.DUMMYFUNCTION("IMPORTRANGE(""https://docs.google.com/spreadsheets/d/1-uDff_7J0KD5mKrp0Vvzr7lt3OU09vwQwhkpOPPYv2Y/edit?usp=sharing"",""งบพรบ!BN8"")"),0)</f>
        <v>0</v>
      </c>
      <c r="O130" s="27">
        <f t="shared" ca="1" si="57"/>
        <v>0</v>
      </c>
      <c r="P130" s="27">
        <f t="shared" ca="1" si="58"/>
        <v>0</v>
      </c>
    </row>
    <row r="131" spans="1:16" ht="18.75" hidden="1" x14ac:dyDescent="0.25">
      <c r="A131" s="209"/>
      <c r="B131" s="17"/>
      <c r="C131" s="17"/>
      <c r="D131" s="28" t="s">
        <v>21</v>
      </c>
      <c r="E131" s="17"/>
      <c r="F131" s="17"/>
      <c r="G131" s="20"/>
      <c r="H131" s="216" t="s">
        <v>12</v>
      </c>
      <c r="I131" s="22"/>
      <c r="J131" s="22"/>
      <c r="K131" s="23"/>
      <c r="L131" s="27">
        <f t="shared" ref="L131:N131" ca="1" si="62">L132+L133</f>
        <v>0</v>
      </c>
      <c r="M131" s="27">
        <f t="shared" ca="1" si="62"/>
        <v>0</v>
      </c>
      <c r="N131" s="27">
        <f t="shared" ca="1" si="62"/>
        <v>0</v>
      </c>
      <c r="O131" s="27">
        <f t="shared" ca="1" si="57"/>
        <v>0</v>
      </c>
      <c r="P131" s="27">
        <f t="shared" ca="1" si="58"/>
        <v>0</v>
      </c>
    </row>
    <row r="132" spans="1:16" ht="18.75" hidden="1" x14ac:dyDescent="0.25">
      <c r="A132" s="214"/>
      <c r="B132" s="187"/>
      <c r="C132" s="187"/>
      <c r="D132" s="187"/>
      <c r="E132" s="186" t="s">
        <v>18</v>
      </c>
      <c r="F132" s="187"/>
      <c r="G132" s="188"/>
      <c r="H132" s="218" t="s">
        <v>12</v>
      </c>
      <c r="I132" s="196"/>
      <c r="J132" s="196"/>
      <c r="K132" s="198"/>
      <c r="L132" s="27">
        <f ca="1">IFERROR(__xludf.DUMMYFUNCTION("IMPORTRANGE(""https://docs.google.com/spreadsheets/d/1-uDff_7J0KD5mKrp0Vvzr7lt3OU09vwQwhkpOPPYv2Y/edit?usp=sharing"",""งบพรบ!BJ9"")"),0)</f>
        <v>0</v>
      </c>
      <c r="M132" s="27">
        <f ca="1">IFERROR(__xludf.DUMMYFUNCTION("IMPORTRANGE(""https://docs.google.com/spreadsheets/d/1-uDff_7J0KD5mKrp0Vvzr7lt3OU09vwQwhkpOPPYv2Y/edit?usp=sharing"",""งบพรบ!BM9"")"),0)</f>
        <v>0</v>
      </c>
      <c r="N132" s="27">
        <f ca="1">IFERROR(__xludf.DUMMYFUNCTION("IMPORTRANGE(""https://docs.google.com/spreadsheets/d/1-uDff_7J0KD5mKrp0Vvzr7lt3OU09vwQwhkpOPPYv2Y/edit?usp=sharing"",""งบพรบ!BO9"")"),0)</f>
        <v>0</v>
      </c>
      <c r="O132" s="27">
        <f t="shared" ca="1" si="57"/>
        <v>0</v>
      </c>
      <c r="P132" s="27">
        <f t="shared" ca="1" si="58"/>
        <v>0</v>
      </c>
    </row>
    <row r="133" spans="1:16" ht="18.75" hidden="1" x14ac:dyDescent="0.25">
      <c r="A133" s="209"/>
      <c r="B133" s="17"/>
      <c r="C133" s="17"/>
      <c r="D133" s="17"/>
      <c r="E133" s="25" t="s">
        <v>19</v>
      </c>
      <c r="F133" s="17"/>
      <c r="G133" s="20"/>
      <c r="H133" s="216" t="s">
        <v>12</v>
      </c>
      <c r="I133" s="22"/>
      <c r="J133" s="22"/>
      <c r="K133" s="23"/>
      <c r="L133" s="27">
        <f ca="1">IFERROR(__xludf.DUMMYFUNCTION("IMPORTRANGE(""https://docs.google.com/spreadsheets/d/1-uDff_7J0KD5mKrp0Vvzr7lt3OU09vwQwhkpOPPYv2Y/edit?usp=sharing"",""งบพรบ!BJ8"")"),0)</f>
        <v>0</v>
      </c>
      <c r="M133" s="27">
        <f ca="1">IFERROR(__xludf.DUMMYFUNCTION("IMPORTRANGE(""https://docs.google.com/spreadsheets/d/1-uDff_7J0KD5mKrp0Vvzr7lt3OU09vwQwhkpOPPYv2Y/edit?usp=sharing"",""งบพรบ!BM8"")"),0)</f>
        <v>0</v>
      </c>
      <c r="N133" s="27">
        <f ca="1">IFERROR(__xludf.DUMMYFUNCTION("IMPORTRANGE(""https://docs.google.com/spreadsheets/d/1-uDff_7J0KD5mKrp0Vvzr7lt3OU09vwQwhkpOPPYv2Y/edit?usp=sharing"",""งบพรบ!BO8"")"),0)</f>
        <v>0</v>
      </c>
      <c r="O133" s="27">
        <f t="shared" ca="1" si="57"/>
        <v>0</v>
      </c>
      <c r="P133" s="27">
        <f t="shared" ca="1" si="58"/>
        <v>0</v>
      </c>
    </row>
    <row r="134" spans="1:16" ht="19.5" x14ac:dyDescent="0.3">
      <c r="A134" s="146" t="s">
        <v>51</v>
      </c>
      <c r="B134" s="147"/>
      <c r="C134" s="219"/>
      <c r="D134" s="147"/>
      <c r="E134" s="147"/>
      <c r="F134" s="147"/>
      <c r="G134" s="147"/>
      <c r="H134" s="147"/>
      <c r="I134" s="220"/>
      <c r="J134" s="220"/>
      <c r="K134" s="221"/>
      <c r="L134" s="151"/>
      <c r="M134" s="151"/>
      <c r="N134" s="151"/>
      <c r="O134" s="151"/>
      <c r="P134" s="151"/>
    </row>
    <row r="135" spans="1:16" ht="19.5" x14ac:dyDescent="0.3">
      <c r="A135" s="152"/>
      <c r="B135" s="153" t="s">
        <v>52</v>
      </c>
      <c r="C135" s="222"/>
      <c r="D135" s="154"/>
      <c r="E135" s="41"/>
      <c r="F135" s="41"/>
      <c r="G135" s="41"/>
      <c r="H135" s="41"/>
      <c r="I135" s="46"/>
      <c r="J135" s="46"/>
      <c r="K135" s="47"/>
      <c r="L135" s="47"/>
      <c r="M135" s="47"/>
      <c r="N135" s="47"/>
      <c r="O135" s="47"/>
      <c r="P135" s="47"/>
    </row>
    <row r="136" spans="1:16" ht="19.5" x14ac:dyDescent="0.3">
      <c r="A136" s="152"/>
      <c r="B136" s="41"/>
      <c r="C136" s="223" t="s">
        <v>53</v>
      </c>
      <c r="D136" s="154"/>
      <c r="E136" s="41"/>
      <c r="F136" s="41"/>
      <c r="G136" s="44"/>
      <c r="H136" s="155" t="s">
        <v>54</v>
      </c>
      <c r="I136" s="156">
        <f t="shared" ref="I136:J136" ca="1" si="63">I154</f>
        <v>15</v>
      </c>
      <c r="J136" s="156">
        <f t="shared" ca="1" si="63"/>
        <v>0</v>
      </c>
      <c r="K136" s="48">
        <f t="shared" ref="K136:K138" ca="1" si="64">IF(I136&gt;0,J136*100/I136,0)</f>
        <v>0</v>
      </c>
      <c r="L136" s="47"/>
      <c r="M136" s="47"/>
      <c r="N136" s="47"/>
      <c r="O136" s="47"/>
      <c r="P136" s="47"/>
    </row>
    <row r="137" spans="1:16" ht="19.5" x14ac:dyDescent="0.3">
      <c r="A137" s="152"/>
      <c r="B137" s="41"/>
      <c r="C137" s="223" t="s">
        <v>55</v>
      </c>
      <c r="D137" s="154"/>
      <c r="E137" s="41"/>
      <c r="F137" s="41"/>
      <c r="G137" s="44"/>
      <c r="H137" s="155" t="s">
        <v>33</v>
      </c>
      <c r="I137" s="156">
        <f t="shared" ref="I137:J137" ca="1" si="65">I152</f>
        <v>400</v>
      </c>
      <c r="J137" s="156">
        <f t="shared" ca="1" si="65"/>
        <v>10</v>
      </c>
      <c r="K137" s="48">
        <f t="shared" ca="1" si="64"/>
        <v>2.5</v>
      </c>
      <c r="L137" s="47"/>
      <c r="M137" s="47"/>
      <c r="N137" s="47"/>
      <c r="O137" s="47"/>
      <c r="P137" s="47"/>
    </row>
    <row r="138" spans="1:16" ht="19.5" x14ac:dyDescent="0.3">
      <c r="A138" s="152"/>
      <c r="B138" s="41"/>
      <c r="C138" s="223"/>
      <c r="D138" s="154"/>
      <c r="E138" s="41"/>
      <c r="F138" s="41"/>
      <c r="G138" s="44"/>
      <c r="H138" s="224" t="s">
        <v>56</v>
      </c>
      <c r="I138" s="156">
        <f t="shared" ref="I138:J138" ca="1" si="66">I153</f>
        <v>40</v>
      </c>
      <c r="J138" s="156">
        <f t="shared" ca="1" si="66"/>
        <v>1</v>
      </c>
      <c r="K138" s="48">
        <f t="shared" ca="1" si="64"/>
        <v>2.5</v>
      </c>
      <c r="L138" s="47"/>
      <c r="M138" s="47"/>
      <c r="N138" s="47"/>
      <c r="O138" s="47"/>
      <c r="P138" s="47"/>
    </row>
    <row r="139" spans="1:16" ht="19.5" x14ac:dyDescent="0.3">
      <c r="A139" s="157"/>
      <c r="B139" s="53"/>
      <c r="C139" s="158" t="s">
        <v>16</v>
      </c>
      <c r="D139" s="159" t="s">
        <v>17</v>
      </c>
      <c r="E139" s="53"/>
      <c r="F139" s="53"/>
      <c r="G139" s="55"/>
      <c r="H139" s="160" t="s">
        <v>12</v>
      </c>
      <c r="I139" s="57"/>
      <c r="J139" s="57"/>
      <c r="K139" s="58"/>
      <c r="L139" s="161">
        <f t="shared" ref="L139:N139" ca="1" si="67">L140+L141</f>
        <v>1202200</v>
      </c>
      <c r="M139" s="161">
        <f t="shared" ca="1" si="67"/>
        <v>1005500</v>
      </c>
      <c r="N139" s="161">
        <f t="shared" ca="1" si="67"/>
        <v>271526.13</v>
      </c>
      <c r="O139" s="161">
        <f t="shared" ref="O139:O147" ca="1" si="68">IF(L139&gt;0,N139*100/L139,0)</f>
        <v>22.585770254533355</v>
      </c>
      <c r="P139" s="161">
        <f t="shared" ref="P139:P147" ca="1" si="69">IF(M139&gt;0,N139*100/M139,0)</f>
        <v>27.004090502237691</v>
      </c>
    </row>
    <row r="140" spans="1:16" ht="18.75" x14ac:dyDescent="0.25">
      <c r="A140" s="157"/>
      <c r="B140" s="53"/>
      <c r="C140" s="53"/>
      <c r="D140" s="53"/>
      <c r="E140" s="60" t="s">
        <v>18</v>
      </c>
      <c r="F140" s="53"/>
      <c r="G140" s="55"/>
      <c r="H140" s="162" t="s">
        <v>12</v>
      </c>
      <c r="I140" s="57"/>
      <c r="J140" s="57"/>
      <c r="K140" s="58"/>
      <c r="L140" s="59">
        <f t="shared" ref="L140:N140" ca="1" si="70">L143+L146</f>
        <v>0</v>
      </c>
      <c r="M140" s="59">
        <f t="shared" ca="1" si="70"/>
        <v>0</v>
      </c>
      <c r="N140" s="59">
        <f t="shared" ca="1" si="70"/>
        <v>0</v>
      </c>
      <c r="O140" s="59">
        <f t="shared" ca="1" si="68"/>
        <v>0</v>
      </c>
      <c r="P140" s="59">
        <f t="shared" ca="1" si="69"/>
        <v>0</v>
      </c>
    </row>
    <row r="141" spans="1:16" ht="18.75" x14ac:dyDescent="0.25">
      <c r="A141" s="157"/>
      <c r="B141" s="53"/>
      <c r="C141" s="53"/>
      <c r="D141" s="53"/>
      <c r="E141" s="60" t="s">
        <v>19</v>
      </c>
      <c r="F141" s="53"/>
      <c r="G141" s="55"/>
      <c r="H141" s="162" t="s">
        <v>12</v>
      </c>
      <c r="I141" s="57"/>
      <c r="J141" s="57"/>
      <c r="K141" s="58"/>
      <c r="L141" s="59">
        <f t="shared" ref="L141:N141" ca="1" si="71">L144+L147</f>
        <v>1202200</v>
      </c>
      <c r="M141" s="59">
        <f t="shared" ca="1" si="71"/>
        <v>1005500</v>
      </c>
      <c r="N141" s="59">
        <f t="shared" ca="1" si="71"/>
        <v>271526.13</v>
      </c>
      <c r="O141" s="59">
        <f t="shared" ca="1" si="68"/>
        <v>22.585770254533355</v>
      </c>
      <c r="P141" s="59">
        <f t="shared" ca="1" si="69"/>
        <v>27.004090502237691</v>
      </c>
    </row>
    <row r="142" spans="1:16" ht="18.75" x14ac:dyDescent="0.25">
      <c r="A142" s="157"/>
      <c r="B142" s="53"/>
      <c r="C142" s="53"/>
      <c r="D142" s="54" t="s">
        <v>20</v>
      </c>
      <c r="E142" s="53"/>
      <c r="F142" s="53"/>
      <c r="G142" s="55"/>
      <c r="H142" s="163" t="s">
        <v>12</v>
      </c>
      <c r="I142" s="164"/>
      <c r="J142" s="164"/>
      <c r="K142" s="165"/>
      <c r="L142" s="59">
        <f t="shared" ref="L142:N142" ca="1" si="72">L143+L144</f>
        <v>1202200</v>
      </c>
      <c r="M142" s="59">
        <f t="shared" ca="1" si="72"/>
        <v>1005500</v>
      </c>
      <c r="N142" s="59">
        <f t="shared" ca="1" si="72"/>
        <v>271526.13</v>
      </c>
      <c r="O142" s="59">
        <f t="shared" ca="1" si="68"/>
        <v>22.585770254533355</v>
      </c>
      <c r="P142" s="59">
        <f t="shared" ca="1" si="69"/>
        <v>27.004090502237691</v>
      </c>
    </row>
    <row r="143" spans="1:16" ht="18.75" x14ac:dyDescent="0.25">
      <c r="A143" s="157"/>
      <c r="B143" s="53"/>
      <c r="C143" s="53"/>
      <c r="D143" s="53"/>
      <c r="E143" s="60" t="s">
        <v>34</v>
      </c>
      <c r="F143" s="53"/>
      <c r="G143" s="55"/>
      <c r="H143" s="163" t="s">
        <v>12</v>
      </c>
      <c r="I143" s="164"/>
      <c r="J143" s="164"/>
      <c r="K143" s="165"/>
      <c r="L143" s="59">
        <f ca="1">IFERROR(__xludf.DUMMYFUNCTION("IMPORTRANGE(""https://docs.google.com/spreadsheets/d/1jTcq05yEiRwXcBMLjiodW9e4biSGYWAHcDj22rKWQ3s/edit?usp=sharing"",""กำแพงเพชร!L143"")+IMPORTRANGE(""https://docs.google.com/spreadsheets/d/1KS0zmDSZPk8KnTAbGN-Xk6MtX1YRZD0ldgdt20K4CRk/edit?usp=sharing"","&amp;"""เชียงราย!L143"")+IMPORTRANGE(""https://docs.google.com/spreadsheets/d/1rEDxBtusbi64tE0zunoIbsTVV16HeL0oJ6trHQeQ7K8/edit?usp=sharing"",""เชียงใหม่!L143"")+IMPORTRANGE(""https://docs.google.com/spreadsheets/d/1W6MnUbDkMi6xHnHko_XkFDO9kkuL6Wqyc-6OCDFjW9I/e"&amp;"dit?usp=sharing"",""ตาก!L143"")+IMPORTRANGE(""https://docs.google.com/spreadsheets/d/1IQAWArduLkta9LpYo4a_ULsyqdta6-6aDDiwpUnQT6c/edit?usp=sharing"",""นครสวรรค์!L143"")+IMPORTRANGE(""https://docs.google.com/spreadsheets/d/10s13Sk5xrltsiR-Zkbmk5DwIaDIKO8Xl"&amp;"bJAfqyT7Gvg/edit?usp=sharing"",""น่าน!L143"")+IMPORTRANGE(""https://docs.google.com/spreadsheets/d/1uu4nAn4Dbi1XREnLKKotUANlKXa7yCgRcgq8HEzQYW8/edit?usp=sharing"",""พะเยา!L143"")+IMPORTRANGE(""https://docs.google.com/spreadsheets/d/1xfJKIQxVOaPDIICqsflNlL"&amp;"u3JacTDk1FP9RH4phX7mI/edit?usp=sharing"",""พิจิตร!L143"")+IMPORTRANGE(""https://docs.google.com/spreadsheets/d/1JtRfZkJMHtEhI5RdRHxYUG4FIZHqKDpNyIuN7A1Q0_k/edit?usp=sharing"",""พิษณุโลก!L143"")+IMPORTRANGE(""https://docs.google.com/spreadsheets/d/1xlcVZWU"&amp;"Nn6SuWm0c307h32SiGkd9BaeQWlAktfD3KO8/edit?usp=sharing"",""เพชรบูรณ์!L143"")+IMPORTRANGE(""https://docs.google.com/spreadsheets/d/1lOVebEIsI9qjGXl6EX66luk7wiuP2tBaryw-wKvv4e0/edit?usp=sharing"",""แพร่!L143"")+IMPORTRANGE(""https://docs.google.com/spreadshe"&amp;"ets/d/1dQrvX0vEcN7Gu0fnZ0B5S90AeR19zth4XlExFBeExMY/edit?usp=sharing"",""แม่ฮ่องสอน!L143"")+IMPORTRANGE(""https://docs.google.com/spreadsheets/d/1DY4XTNNwjluuxqdfdn6qvOSlMRrZqUtmYcZR0ttFiG4/edit?usp=sharing"",""ลำปาง!L143"")+IMPORTRANGE(""https://docs.goog"&amp;"le.com/spreadsheets/d/1ICwG78r0OFT8biBlxnBF8r7she7gNSzOvJ958PWT09c/edit?usp=sharing"",""ลำพูน!L143"")+IMPORTRANGE(""https://docs.google.com/spreadsheets/d/1B0f2xJpZUC6Z0xXnqKlZtEPzsf6L84eP1r1Q15seqRM/edit?usp=sharing"",""สุโขทัย!L143"")+IMPORTRANGE(""http"&amp;"s://docs.google.com/spreadsheets/d/1v0b9pFQCsKUVExMei7AgY2yQkdeNQvtOssygGsXbiKo/edit?usp=sharing"",""อุตรดิตถ์!L143"")+IMPORTRANGE(""https://docs.google.com/spreadsheets/d/1UsNK1e-WWiCo2PvGqdNfdme4m17_Ezd3J69EeeiQPD0/edit?usp=sharing"",""อุทัยธานี!L143"")"),0)</f>
        <v>0</v>
      </c>
      <c r="M143" s="59">
        <f ca="1">IFERROR(__xludf.DUMMYFUNCTION("IMPORTRANGE(""https://docs.google.com/spreadsheets/d/1jTcq05yEiRwXcBMLjiodW9e4biSGYWAHcDj22rKWQ3s/edit?usp=sharing"",""กำแพงเพชร!M143"")+IMPORTRANGE(""https://docs.google.com/spreadsheets/d/1KS0zmDSZPk8KnTAbGN-Xk6MtX1YRZD0ldgdt20K4CRk/edit?usp=sharing"","&amp;"""เชียงราย!M143"")+IMPORTRANGE(""https://docs.google.com/spreadsheets/d/1rEDxBtusbi64tE0zunoIbsTVV16HeL0oJ6trHQeQ7K8/edit?usp=sharing"",""เชียงใหม่!M143"")+IMPORTRANGE(""https://docs.google.com/spreadsheets/d/1W6MnUbDkMi6xHnHko_XkFDO9kkuL6Wqyc-6OCDFjW9I/e"&amp;"dit?usp=sharing"",""ตาก!M143"")+IMPORTRANGE(""https://docs.google.com/spreadsheets/d/1IQAWArduLkta9LpYo4a_ULsyqdta6-6aDDiwpUnQT6c/edit?usp=sharing"",""นครสวรรค์!M143"")+IMPORTRANGE(""https://docs.google.com/spreadsheets/d/10s13Sk5xrltsiR-Zkbmk5DwIaDIKO8Xl"&amp;"bJAfqyT7Gvg/edit?usp=sharing"",""น่าน!M143"")+IMPORTRANGE(""https://docs.google.com/spreadsheets/d/1uu4nAn4Dbi1XREnLKKotUANlKXa7yCgRcgq8HEzQYW8/edit?usp=sharing"",""พะเยา!M143"")+IMPORTRANGE(""https://docs.google.com/spreadsheets/d/1xfJKIQxVOaPDIICqsflNlL"&amp;"u3JacTDk1FP9RH4phX7mI/edit?usp=sharing"",""พิจิตร!M143"")+IMPORTRANGE(""https://docs.google.com/spreadsheets/d/1JtRfZkJMHtEhI5RdRHxYUG4FIZHqKDpNyIuN7A1Q0_k/edit?usp=sharing"",""พิษณุโลก!M143"")+IMPORTRANGE(""https://docs.google.com/spreadsheets/d/1xlcVZWU"&amp;"Nn6SuWm0c307h32SiGkd9BaeQWlAktfD3KO8/edit?usp=sharing"",""เพชรบูรณ์!M143"")+IMPORTRANGE(""https://docs.google.com/spreadsheets/d/1lOVebEIsI9qjGXl6EX66luk7wiuP2tBaryw-wKvv4e0/edit?usp=sharing"",""แพร่!M143"")+IMPORTRANGE(""https://docs.google.com/spreadshe"&amp;"ets/d/1dQrvX0vEcN7Gu0fnZ0B5S90AeR19zth4XlExFBeExMY/edit?usp=sharing"",""แม่ฮ่องสอน!M143"")+IMPORTRANGE(""https://docs.google.com/spreadsheets/d/1DY4XTNNwjluuxqdfdn6qvOSlMRrZqUtmYcZR0ttFiG4/edit?usp=sharing"",""ลำปาง!M143"")+IMPORTRANGE(""https://docs.goog"&amp;"le.com/spreadsheets/d/1ICwG78r0OFT8biBlxnBF8r7she7gNSzOvJ958PWT09c/edit?usp=sharing"",""ลำพูน!M143"")+IMPORTRANGE(""https://docs.google.com/spreadsheets/d/1B0f2xJpZUC6Z0xXnqKlZtEPzsf6L84eP1r1Q15seqRM/edit?usp=sharing"",""สุโขทัย!M143"")+IMPORTRANGE(""http"&amp;"s://docs.google.com/spreadsheets/d/1v0b9pFQCsKUVExMei7AgY2yQkdeNQvtOssygGsXbiKo/edit?usp=sharing"",""อุตรดิตถ์!M143"")+IMPORTRANGE(""https://docs.google.com/spreadsheets/d/1UsNK1e-WWiCo2PvGqdNfdme4m17_Ezd3J69EeeiQPD0/edit?usp=sharing"",""อุทัยธานี!M143"")"),0)</f>
        <v>0</v>
      </c>
      <c r="N143" s="59">
        <f ca="1">IFERROR(__xludf.DUMMYFUNCTION("IMPORTRANGE(""https://docs.google.com/spreadsheets/d/1jTcq05yEiRwXcBMLjiodW9e4biSGYWAHcDj22rKWQ3s/edit?usp=sharing"",""กำแพงเพชร!N143"")+IMPORTRANGE(""https://docs.google.com/spreadsheets/d/1KS0zmDSZPk8KnTAbGN-Xk6MtX1YRZD0ldgdt20K4CRk/edit?usp=sharing"","&amp;"""เชียงราย!N143"")+IMPORTRANGE(""https://docs.google.com/spreadsheets/d/1rEDxBtusbi64tE0zunoIbsTVV16HeL0oJ6trHQeQ7K8/edit?usp=sharing"",""เชียงใหม่!N143"")+IMPORTRANGE(""https://docs.google.com/spreadsheets/d/1W6MnUbDkMi6xHnHko_XkFDO9kkuL6Wqyc-6OCDFjW9I/e"&amp;"dit?usp=sharing"",""ตาก!N143"")+IMPORTRANGE(""https://docs.google.com/spreadsheets/d/1IQAWArduLkta9LpYo4a_ULsyqdta6-6aDDiwpUnQT6c/edit?usp=sharing"",""นครสวรรค์!N143"")+IMPORTRANGE(""https://docs.google.com/spreadsheets/d/10s13Sk5xrltsiR-Zkbmk5DwIaDIKO8Xl"&amp;"bJAfqyT7Gvg/edit?usp=sharing"",""น่าน!N143"")+IMPORTRANGE(""https://docs.google.com/spreadsheets/d/1uu4nAn4Dbi1XREnLKKotUANlKXa7yCgRcgq8HEzQYW8/edit?usp=sharing"",""พะเยา!N143"")+IMPORTRANGE(""https://docs.google.com/spreadsheets/d/1xfJKIQxVOaPDIICqsflNlL"&amp;"u3JacTDk1FP9RH4phX7mI/edit?usp=sharing"",""พิจิตร!N143"")+IMPORTRANGE(""https://docs.google.com/spreadsheets/d/1JtRfZkJMHtEhI5RdRHxYUG4FIZHqKDpNyIuN7A1Q0_k/edit?usp=sharing"",""พิษณุโลก!N143"")+IMPORTRANGE(""https://docs.google.com/spreadsheets/d/1xlcVZWU"&amp;"Nn6SuWm0c307h32SiGkd9BaeQWlAktfD3KO8/edit?usp=sharing"",""เพชรบูรณ์!N143"")+IMPORTRANGE(""https://docs.google.com/spreadsheets/d/1lOVebEIsI9qjGXl6EX66luk7wiuP2tBaryw-wKvv4e0/edit?usp=sharing"",""แพร่!N143"")+IMPORTRANGE(""https://docs.google.com/spreadshe"&amp;"ets/d/1dQrvX0vEcN7Gu0fnZ0B5S90AeR19zth4XlExFBeExMY/edit?usp=sharing"",""แม่ฮ่องสอน!N143"")+IMPORTRANGE(""https://docs.google.com/spreadsheets/d/1DY4XTNNwjluuxqdfdn6qvOSlMRrZqUtmYcZR0ttFiG4/edit?usp=sharing"",""ลำปาง!N143"")+IMPORTRANGE(""https://docs.goog"&amp;"le.com/spreadsheets/d/1ICwG78r0OFT8biBlxnBF8r7she7gNSzOvJ958PWT09c/edit?usp=sharing"",""ลำพูน!N143"")+IMPORTRANGE(""https://docs.google.com/spreadsheets/d/1B0f2xJpZUC6Z0xXnqKlZtEPzsf6L84eP1r1Q15seqRM/edit?usp=sharing"",""สุโขทัย!N143"")+IMPORTRANGE(""http"&amp;"s://docs.google.com/spreadsheets/d/1v0b9pFQCsKUVExMei7AgY2yQkdeNQvtOssygGsXbiKo/edit?usp=sharing"",""อุตรดิตถ์!N143"")+IMPORTRANGE(""https://docs.google.com/spreadsheets/d/1UsNK1e-WWiCo2PvGqdNfdme4m17_Ezd3J69EeeiQPD0/edit?usp=sharing"",""อุทัยธานี!N143"")"),0)</f>
        <v>0</v>
      </c>
      <c r="O143" s="59">
        <f t="shared" ca="1" si="68"/>
        <v>0</v>
      </c>
      <c r="P143" s="59">
        <f t="shared" ca="1" si="69"/>
        <v>0</v>
      </c>
    </row>
    <row r="144" spans="1:16" ht="18.75" x14ac:dyDescent="0.25">
      <c r="A144" s="157"/>
      <c r="B144" s="53"/>
      <c r="C144" s="53"/>
      <c r="D144" s="53"/>
      <c r="E144" s="60" t="s">
        <v>35</v>
      </c>
      <c r="F144" s="53"/>
      <c r="G144" s="55"/>
      <c r="H144" s="163" t="s">
        <v>12</v>
      </c>
      <c r="I144" s="164"/>
      <c r="J144" s="164"/>
      <c r="K144" s="165"/>
      <c r="L144" s="59">
        <f ca="1">IFERROR(__xludf.DUMMYFUNCTION("IMPORTRANGE(""https://docs.google.com/spreadsheets/d/1jTcq05yEiRwXcBMLjiodW9e4biSGYWAHcDj22rKWQ3s/edit?usp=sharing"",""กำแพงเพชร!L144"")+IMPORTRANGE(""https://docs.google.com/spreadsheets/d/1KS0zmDSZPk8KnTAbGN-Xk6MtX1YRZD0ldgdt20K4CRk/edit?usp=sharing"","&amp;"""เชียงราย!L144"")+IMPORTRANGE(""https://docs.google.com/spreadsheets/d/1rEDxBtusbi64tE0zunoIbsTVV16HeL0oJ6trHQeQ7K8/edit?usp=sharing"",""เชียงใหม่!L144"")+IMPORTRANGE(""https://docs.google.com/spreadsheets/d/1W6MnUbDkMi6xHnHko_XkFDO9kkuL6Wqyc-6OCDFjW9I/e"&amp;"dit?usp=sharing"",""ตาก!L144"")+IMPORTRANGE(""https://docs.google.com/spreadsheets/d/1IQAWArduLkta9LpYo4a_ULsyqdta6-6aDDiwpUnQT6c/edit?usp=sharing"",""นครสวรรค์!L144"")+IMPORTRANGE(""https://docs.google.com/spreadsheets/d/10s13Sk5xrltsiR-Zkbmk5DwIaDIKO8Xl"&amp;"bJAfqyT7Gvg/edit?usp=sharing"",""น่าน!L144"")+IMPORTRANGE(""https://docs.google.com/spreadsheets/d/1uu4nAn4Dbi1XREnLKKotUANlKXa7yCgRcgq8HEzQYW8/edit?usp=sharing"",""พะเยา!L144"")+IMPORTRANGE(""https://docs.google.com/spreadsheets/d/1xfJKIQxVOaPDIICqsflNlL"&amp;"u3JacTDk1FP9RH4phX7mI/edit?usp=sharing"",""พิจิตร!L144"")+IMPORTRANGE(""https://docs.google.com/spreadsheets/d/1JtRfZkJMHtEhI5RdRHxYUG4FIZHqKDpNyIuN7A1Q0_k/edit?usp=sharing"",""พิษณุโลก!L144"")+IMPORTRANGE(""https://docs.google.com/spreadsheets/d/1xlcVZWU"&amp;"Nn6SuWm0c307h32SiGkd9BaeQWlAktfD3KO8/edit?usp=sharing"",""เพชรบูรณ์!L144"")+IMPORTRANGE(""https://docs.google.com/spreadsheets/d/1lOVebEIsI9qjGXl6EX66luk7wiuP2tBaryw-wKvv4e0/edit?usp=sharing"",""แพร่!L144"")+IMPORTRANGE(""https://docs.google.com/spreadshe"&amp;"ets/d/1dQrvX0vEcN7Gu0fnZ0B5S90AeR19zth4XlExFBeExMY/edit?usp=sharing"",""แม่ฮ่องสอน!L144"")+IMPORTRANGE(""https://docs.google.com/spreadsheets/d/1DY4XTNNwjluuxqdfdn6qvOSlMRrZqUtmYcZR0ttFiG4/edit?usp=sharing"",""ลำปาง!L144"")+IMPORTRANGE(""https://docs.goog"&amp;"le.com/spreadsheets/d/1ICwG78r0OFT8biBlxnBF8r7she7gNSzOvJ958PWT09c/edit?usp=sharing"",""ลำพูน!L144"")+IMPORTRANGE(""https://docs.google.com/spreadsheets/d/1B0f2xJpZUC6Z0xXnqKlZtEPzsf6L84eP1r1Q15seqRM/edit?usp=sharing"",""สุโขทัย!L144"")+IMPORTRANGE(""http"&amp;"s://docs.google.com/spreadsheets/d/1v0b9pFQCsKUVExMei7AgY2yQkdeNQvtOssygGsXbiKo/edit?usp=sharing"",""อุตรดิตถ์!L144"")+IMPORTRANGE(""https://docs.google.com/spreadsheets/d/1UsNK1e-WWiCo2PvGqdNfdme4m17_Ezd3J69EeeiQPD0/edit?usp=sharing"",""อุทัยธานี!L144"")"),1202200)</f>
        <v>1202200</v>
      </c>
      <c r="M144" s="59">
        <f ca="1">IFERROR(__xludf.DUMMYFUNCTION("IMPORTRANGE(""https://docs.google.com/spreadsheets/d/1jTcq05yEiRwXcBMLjiodW9e4biSGYWAHcDj22rKWQ3s/edit?usp=sharing"",""กำแพงเพชร!M144"")+IMPORTRANGE(""https://docs.google.com/spreadsheets/d/1KS0zmDSZPk8KnTAbGN-Xk6MtX1YRZD0ldgdt20K4CRk/edit?usp=sharing"","&amp;"""เชียงราย!M144"")+IMPORTRANGE(""https://docs.google.com/spreadsheets/d/1rEDxBtusbi64tE0zunoIbsTVV16HeL0oJ6trHQeQ7K8/edit?usp=sharing"",""เชียงใหม่!M144"")+IMPORTRANGE(""https://docs.google.com/spreadsheets/d/1W6MnUbDkMi6xHnHko_XkFDO9kkuL6Wqyc-6OCDFjW9I/e"&amp;"dit?usp=sharing"",""ตาก!M144"")+IMPORTRANGE(""https://docs.google.com/spreadsheets/d/1IQAWArduLkta9LpYo4a_ULsyqdta6-6aDDiwpUnQT6c/edit?usp=sharing"",""นครสวรรค์!M144"")+IMPORTRANGE(""https://docs.google.com/spreadsheets/d/10s13Sk5xrltsiR-Zkbmk5DwIaDIKO8Xl"&amp;"bJAfqyT7Gvg/edit?usp=sharing"",""น่าน!M144"")+IMPORTRANGE(""https://docs.google.com/spreadsheets/d/1uu4nAn4Dbi1XREnLKKotUANlKXa7yCgRcgq8HEzQYW8/edit?usp=sharing"",""พะเยา!M144"")+IMPORTRANGE(""https://docs.google.com/spreadsheets/d/1xfJKIQxVOaPDIICqsflNlL"&amp;"u3JacTDk1FP9RH4phX7mI/edit?usp=sharing"",""พิจิตร!M144"")+IMPORTRANGE(""https://docs.google.com/spreadsheets/d/1JtRfZkJMHtEhI5RdRHxYUG4FIZHqKDpNyIuN7A1Q0_k/edit?usp=sharing"",""พิษณุโลก!M144"")+IMPORTRANGE(""https://docs.google.com/spreadsheets/d/1xlcVZWU"&amp;"Nn6SuWm0c307h32SiGkd9BaeQWlAktfD3KO8/edit?usp=sharing"",""เพชรบูรณ์!M144"")+IMPORTRANGE(""https://docs.google.com/spreadsheets/d/1lOVebEIsI9qjGXl6EX66luk7wiuP2tBaryw-wKvv4e0/edit?usp=sharing"",""แพร่!M144"")+IMPORTRANGE(""https://docs.google.com/spreadshe"&amp;"ets/d/1dQrvX0vEcN7Gu0fnZ0B5S90AeR19zth4XlExFBeExMY/edit?usp=sharing"",""แม่ฮ่องสอน!M144"")+IMPORTRANGE(""https://docs.google.com/spreadsheets/d/1DY4XTNNwjluuxqdfdn6qvOSlMRrZqUtmYcZR0ttFiG4/edit?usp=sharing"",""ลำปาง!M144"")+IMPORTRANGE(""https://docs.goog"&amp;"le.com/spreadsheets/d/1ICwG78r0OFT8biBlxnBF8r7she7gNSzOvJ958PWT09c/edit?usp=sharing"",""ลำพูน!M144"")+IMPORTRANGE(""https://docs.google.com/spreadsheets/d/1B0f2xJpZUC6Z0xXnqKlZtEPzsf6L84eP1r1Q15seqRM/edit?usp=sharing"",""สุโขทัย!M144"")+IMPORTRANGE(""http"&amp;"s://docs.google.com/spreadsheets/d/1v0b9pFQCsKUVExMei7AgY2yQkdeNQvtOssygGsXbiKo/edit?usp=sharing"",""อุตรดิตถ์!M144"")+IMPORTRANGE(""https://docs.google.com/spreadsheets/d/1UsNK1e-WWiCo2PvGqdNfdme4m17_Ezd3J69EeeiQPD0/edit?usp=sharing"",""อุทัยธานี!M144"")"),1005500)</f>
        <v>1005500</v>
      </c>
      <c r="N144" s="59">
        <f ca="1">IFERROR(__xludf.DUMMYFUNCTION("IMPORTRANGE(""https://docs.google.com/spreadsheets/d/1jTcq05yEiRwXcBMLjiodW9e4biSGYWAHcDj22rKWQ3s/edit?usp=sharing"",""กำแพงเพชร!N144"")+IMPORTRANGE(""https://docs.google.com/spreadsheets/d/1KS0zmDSZPk8KnTAbGN-Xk6MtX1YRZD0ldgdt20K4CRk/edit?usp=sharing"","&amp;"""เชียงราย!N144"")+IMPORTRANGE(""https://docs.google.com/spreadsheets/d/1rEDxBtusbi64tE0zunoIbsTVV16HeL0oJ6trHQeQ7K8/edit?usp=sharing"",""เชียงใหม่!N144"")+IMPORTRANGE(""https://docs.google.com/spreadsheets/d/1W6MnUbDkMi6xHnHko_XkFDO9kkuL6Wqyc-6OCDFjW9I/e"&amp;"dit?usp=sharing"",""ตาก!N144"")+IMPORTRANGE(""https://docs.google.com/spreadsheets/d/1IQAWArduLkta9LpYo4a_ULsyqdta6-6aDDiwpUnQT6c/edit?usp=sharing"",""นครสวรรค์!N144"")+IMPORTRANGE(""https://docs.google.com/spreadsheets/d/10s13Sk5xrltsiR-Zkbmk5DwIaDIKO8Xl"&amp;"bJAfqyT7Gvg/edit?usp=sharing"",""น่าน!N144"")+IMPORTRANGE(""https://docs.google.com/spreadsheets/d/1uu4nAn4Dbi1XREnLKKotUANlKXa7yCgRcgq8HEzQYW8/edit?usp=sharing"",""พะเยา!N144"")+IMPORTRANGE(""https://docs.google.com/spreadsheets/d/1xfJKIQxVOaPDIICqsflNlL"&amp;"u3JacTDk1FP9RH4phX7mI/edit?usp=sharing"",""พิจิตร!N144"")+IMPORTRANGE(""https://docs.google.com/spreadsheets/d/1JtRfZkJMHtEhI5RdRHxYUG4FIZHqKDpNyIuN7A1Q0_k/edit?usp=sharing"",""พิษณุโลก!N144"")+IMPORTRANGE(""https://docs.google.com/spreadsheets/d/1xlcVZWU"&amp;"Nn6SuWm0c307h32SiGkd9BaeQWlAktfD3KO8/edit?usp=sharing"",""เพชรบูรณ์!N144"")+IMPORTRANGE(""https://docs.google.com/spreadsheets/d/1lOVebEIsI9qjGXl6EX66luk7wiuP2tBaryw-wKvv4e0/edit?usp=sharing"",""แพร่!N144"")+IMPORTRANGE(""https://docs.google.com/spreadshe"&amp;"ets/d/1dQrvX0vEcN7Gu0fnZ0B5S90AeR19zth4XlExFBeExMY/edit?usp=sharing"",""แม่ฮ่องสอน!N144"")+IMPORTRANGE(""https://docs.google.com/spreadsheets/d/1DY4XTNNwjluuxqdfdn6qvOSlMRrZqUtmYcZR0ttFiG4/edit?usp=sharing"",""ลำปาง!N144"")+IMPORTRANGE(""https://docs.goog"&amp;"le.com/spreadsheets/d/1ICwG78r0OFT8biBlxnBF8r7she7gNSzOvJ958PWT09c/edit?usp=sharing"",""ลำพูน!N144"")+IMPORTRANGE(""https://docs.google.com/spreadsheets/d/1B0f2xJpZUC6Z0xXnqKlZtEPzsf6L84eP1r1Q15seqRM/edit?usp=sharing"",""สุโขทัย!N144"")+IMPORTRANGE(""http"&amp;"s://docs.google.com/spreadsheets/d/1v0b9pFQCsKUVExMei7AgY2yQkdeNQvtOssygGsXbiKo/edit?usp=sharing"",""อุตรดิตถ์!N144"")+IMPORTRANGE(""https://docs.google.com/spreadsheets/d/1UsNK1e-WWiCo2PvGqdNfdme4m17_Ezd3J69EeeiQPD0/edit?usp=sharing"",""อุทัยธานี!N144"")"),271526.13)</f>
        <v>271526.13</v>
      </c>
      <c r="O144" s="59">
        <f t="shared" ca="1" si="68"/>
        <v>22.585770254533355</v>
      </c>
      <c r="P144" s="59">
        <f t="shared" ca="1" si="69"/>
        <v>27.004090502237691</v>
      </c>
    </row>
    <row r="145" spans="1:16" ht="18.75" x14ac:dyDescent="0.25">
      <c r="A145" s="157"/>
      <c r="B145" s="53"/>
      <c r="C145" s="53"/>
      <c r="D145" s="54" t="s">
        <v>21</v>
      </c>
      <c r="E145" s="53"/>
      <c r="F145" s="53"/>
      <c r="G145" s="55"/>
      <c r="H145" s="166" t="s">
        <v>12</v>
      </c>
      <c r="I145" s="164"/>
      <c r="J145" s="164"/>
      <c r="K145" s="165"/>
      <c r="L145" s="59">
        <f t="shared" ref="L145:N145" ca="1" si="73">L146+L147</f>
        <v>0</v>
      </c>
      <c r="M145" s="59">
        <f t="shared" ca="1" si="73"/>
        <v>0</v>
      </c>
      <c r="N145" s="59">
        <f t="shared" ca="1" si="73"/>
        <v>0</v>
      </c>
      <c r="O145" s="59">
        <f t="shared" ca="1" si="68"/>
        <v>0</v>
      </c>
      <c r="P145" s="59">
        <f t="shared" ca="1" si="69"/>
        <v>0</v>
      </c>
    </row>
    <row r="146" spans="1:16" ht="18.75" x14ac:dyDescent="0.25">
      <c r="A146" s="157"/>
      <c r="B146" s="53"/>
      <c r="C146" s="53"/>
      <c r="D146" s="53"/>
      <c r="E146" s="60" t="s">
        <v>18</v>
      </c>
      <c r="F146" s="53"/>
      <c r="G146" s="55"/>
      <c r="H146" s="163" t="s">
        <v>12</v>
      </c>
      <c r="I146" s="164"/>
      <c r="J146" s="164"/>
      <c r="K146" s="165"/>
      <c r="L146" s="59">
        <f ca="1">IFERROR(__xludf.DUMMYFUNCTION("IMPORTRANGE(""https://docs.google.com/spreadsheets/d/1jTcq05yEiRwXcBMLjiodW9e4biSGYWAHcDj22rKWQ3s/edit?usp=sharing"",""กำแพงเพชร!L146"")+IMPORTRANGE(""https://docs.google.com/spreadsheets/d/1KS0zmDSZPk8KnTAbGN-Xk6MtX1YRZD0ldgdt20K4CRk/edit?usp=sharing"","&amp;"""เชียงราย!L146"")+IMPORTRANGE(""https://docs.google.com/spreadsheets/d/1rEDxBtusbi64tE0zunoIbsTVV16HeL0oJ6trHQeQ7K8/edit?usp=sharing"",""เชียงใหม่!L146"")+IMPORTRANGE(""https://docs.google.com/spreadsheets/d/1W6MnUbDkMi6xHnHko_XkFDO9kkuL6Wqyc-6OCDFjW9I/e"&amp;"dit?usp=sharing"",""ตาก!L146"")+IMPORTRANGE(""https://docs.google.com/spreadsheets/d/1IQAWArduLkta9LpYo4a_ULsyqdta6-6aDDiwpUnQT6c/edit?usp=sharing"",""นครสวรรค์!L146"")+IMPORTRANGE(""https://docs.google.com/spreadsheets/d/10s13Sk5xrltsiR-Zkbmk5DwIaDIKO8Xl"&amp;"bJAfqyT7Gvg/edit?usp=sharing"",""น่าน!L146"")+IMPORTRANGE(""https://docs.google.com/spreadsheets/d/1uu4nAn4Dbi1XREnLKKotUANlKXa7yCgRcgq8HEzQYW8/edit?usp=sharing"",""พะเยา!L146"")+IMPORTRANGE(""https://docs.google.com/spreadsheets/d/1xfJKIQxVOaPDIICqsflNlL"&amp;"u3JacTDk1FP9RH4phX7mI/edit?usp=sharing"",""พิจิตร!L146"")+IMPORTRANGE(""https://docs.google.com/spreadsheets/d/1JtRfZkJMHtEhI5RdRHxYUG4FIZHqKDpNyIuN7A1Q0_k/edit?usp=sharing"",""พิษณุโลก!L146"")+IMPORTRANGE(""https://docs.google.com/spreadsheets/d/1xlcVZWU"&amp;"Nn6SuWm0c307h32SiGkd9BaeQWlAktfD3KO8/edit?usp=sharing"",""เพชรบูรณ์!L146"")+IMPORTRANGE(""https://docs.google.com/spreadsheets/d/1lOVebEIsI9qjGXl6EX66luk7wiuP2tBaryw-wKvv4e0/edit?usp=sharing"",""แพร่!L146"")+IMPORTRANGE(""https://docs.google.com/spreadshe"&amp;"ets/d/1dQrvX0vEcN7Gu0fnZ0B5S90AeR19zth4XlExFBeExMY/edit?usp=sharing"",""แม่ฮ่องสอน!L146"")+IMPORTRANGE(""https://docs.google.com/spreadsheets/d/1DY4XTNNwjluuxqdfdn6qvOSlMRrZqUtmYcZR0ttFiG4/edit?usp=sharing"",""ลำปาง!L146"")+IMPORTRANGE(""https://docs.goog"&amp;"le.com/spreadsheets/d/1ICwG78r0OFT8biBlxnBF8r7she7gNSzOvJ958PWT09c/edit?usp=sharing"",""ลำพูน!L146"")+IMPORTRANGE(""https://docs.google.com/spreadsheets/d/1B0f2xJpZUC6Z0xXnqKlZtEPzsf6L84eP1r1Q15seqRM/edit?usp=sharing"",""สุโขทัย!L146"")+IMPORTRANGE(""http"&amp;"s://docs.google.com/spreadsheets/d/1v0b9pFQCsKUVExMei7AgY2yQkdeNQvtOssygGsXbiKo/edit?usp=sharing"",""อุตรดิตถ์!L146"")+IMPORTRANGE(""https://docs.google.com/spreadsheets/d/1UsNK1e-WWiCo2PvGqdNfdme4m17_Ezd3J69EeeiQPD0/edit?usp=sharing"",""อุทัยธานี!L146"")"),0)</f>
        <v>0</v>
      </c>
      <c r="M146" s="59">
        <f ca="1">IFERROR(__xludf.DUMMYFUNCTION("IMPORTRANGE(""https://docs.google.com/spreadsheets/d/1jTcq05yEiRwXcBMLjiodW9e4biSGYWAHcDj22rKWQ3s/edit?usp=sharing"",""กำแพงเพชร!M146"")+IMPORTRANGE(""https://docs.google.com/spreadsheets/d/1KS0zmDSZPk8KnTAbGN-Xk6MtX1YRZD0ldgdt20K4CRk/edit?usp=sharing"","&amp;"""เชียงราย!M146"")+IMPORTRANGE(""https://docs.google.com/spreadsheets/d/1rEDxBtusbi64tE0zunoIbsTVV16HeL0oJ6trHQeQ7K8/edit?usp=sharing"",""เชียงใหม่!M146"")+IMPORTRANGE(""https://docs.google.com/spreadsheets/d/1W6MnUbDkMi6xHnHko_XkFDO9kkuL6Wqyc-6OCDFjW9I/e"&amp;"dit?usp=sharing"",""ตาก!M146"")+IMPORTRANGE(""https://docs.google.com/spreadsheets/d/1IQAWArduLkta9LpYo4a_ULsyqdta6-6aDDiwpUnQT6c/edit?usp=sharing"",""นครสวรรค์!M146"")+IMPORTRANGE(""https://docs.google.com/spreadsheets/d/10s13Sk5xrltsiR-Zkbmk5DwIaDIKO8Xl"&amp;"bJAfqyT7Gvg/edit?usp=sharing"",""น่าน!M146"")+IMPORTRANGE(""https://docs.google.com/spreadsheets/d/1uu4nAn4Dbi1XREnLKKotUANlKXa7yCgRcgq8HEzQYW8/edit?usp=sharing"",""พะเยา!M146"")+IMPORTRANGE(""https://docs.google.com/spreadsheets/d/1xfJKIQxVOaPDIICqsflNlL"&amp;"u3JacTDk1FP9RH4phX7mI/edit?usp=sharing"",""พิจิตร!M146"")+IMPORTRANGE(""https://docs.google.com/spreadsheets/d/1JtRfZkJMHtEhI5RdRHxYUG4FIZHqKDpNyIuN7A1Q0_k/edit?usp=sharing"",""พิษณุโลก!M146"")+IMPORTRANGE(""https://docs.google.com/spreadsheets/d/1xlcVZWU"&amp;"Nn6SuWm0c307h32SiGkd9BaeQWlAktfD3KO8/edit?usp=sharing"",""เพชรบูรณ์!M146"")+IMPORTRANGE(""https://docs.google.com/spreadsheets/d/1lOVebEIsI9qjGXl6EX66luk7wiuP2tBaryw-wKvv4e0/edit?usp=sharing"",""แพร่!M146"")+IMPORTRANGE(""https://docs.google.com/spreadshe"&amp;"ets/d/1dQrvX0vEcN7Gu0fnZ0B5S90AeR19zth4XlExFBeExMY/edit?usp=sharing"",""แม่ฮ่องสอน!M146"")+IMPORTRANGE(""https://docs.google.com/spreadsheets/d/1DY4XTNNwjluuxqdfdn6qvOSlMRrZqUtmYcZR0ttFiG4/edit?usp=sharing"",""ลำปาง!M146"")+IMPORTRANGE(""https://docs.goog"&amp;"le.com/spreadsheets/d/1ICwG78r0OFT8biBlxnBF8r7she7gNSzOvJ958PWT09c/edit?usp=sharing"",""ลำพูน!M146"")+IMPORTRANGE(""https://docs.google.com/spreadsheets/d/1B0f2xJpZUC6Z0xXnqKlZtEPzsf6L84eP1r1Q15seqRM/edit?usp=sharing"",""สุโขทัย!M146"")+IMPORTRANGE(""http"&amp;"s://docs.google.com/spreadsheets/d/1v0b9pFQCsKUVExMei7AgY2yQkdeNQvtOssygGsXbiKo/edit?usp=sharing"",""อุตรดิตถ์!M146"")+IMPORTRANGE(""https://docs.google.com/spreadsheets/d/1UsNK1e-WWiCo2PvGqdNfdme4m17_Ezd3J69EeeiQPD0/edit?usp=sharing"",""อุทัยธานี!M146"")"),0)</f>
        <v>0</v>
      </c>
      <c r="N146" s="59">
        <f ca="1">IFERROR(__xludf.DUMMYFUNCTION("IMPORTRANGE(""https://docs.google.com/spreadsheets/d/1jTcq05yEiRwXcBMLjiodW9e4biSGYWAHcDj22rKWQ3s/edit?usp=sharing"",""กำแพงเพชร!N146"")+IMPORTRANGE(""https://docs.google.com/spreadsheets/d/1KS0zmDSZPk8KnTAbGN-Xk6MtX1YRZD0ldgdt20K4CRk/edit?usp=sharing"","&amp;"""เชียงราย!N146"")+IMPORTRANGE(""https://docs.google.com/spreadsheets/d/1rEDxBtusbi64tE0zunoIbsTVV16HeL0oJ6trHQeQ7K8/edit?usp=sharing"",""เชียงใหม่!N146"")+IMPORTRANGE(""https://docs.google.com/spreadsheets/d/1W6MnUbDkMi6xHnHko_XkFDO9kkuL6Wqyc-6OCDFjW9I/e"&amp;"dit?usp=sharing"",""ตาก!N146"")+IMPORTRANGE(""https://docs.google.com/spreadsheets/d/1IQAWArduLkta9LpYo4a_ULsyqdta6-6aDDiwpUnQT6c/edit?usp=sharing"",""นครสวรรค์!N146"")+IMPORTRANGE(""https://docs.google.com/spreadsheets/d/10s13Sk5xrltsiR-Zkbmk5DwIaDIKO8Xl"&amp;"bJAfqyT7Gvg/edit?usp=sharing"",""น่าน!N146"")+IMPORTRANGE(""https://docs.google.com/spreadsheets/d/1uu4nAn4Dbi1XREnLKKotUANlKXa7yCgRcgq8HEzQYW8/edit?usp=sharing"",""พะเยา!N146"")+IMPORTRANGE(""https://docs.google.com/spreadsheets/d/1xfJKIQxVOaPDIICqsflNlL"&amp;"u3JacTDk1FP9RH4phX7mI/edit?usp=sharing"",""พิจิตร!N146"")+IMPORTRANGE(""https://docs.google.com/spreadsheets/d/1JtRfZkJMHtEhI5RdRHxYUG4FIZHqKDpNyIuN7A1Q0_k/edit?usp=sharing"",""พิษณุโลก!N146"")+IMPORTRANGE(""https://docs.google.com/spreadsheets/d/1xlcVZWU"&amp;"Nn6SuWm0c307h32SiGkd9BaeQWlAktfD3KO8/edit?usp=sharing"",""เพชรบูรณ์!N146"")+IMPORTRANGE(""https://docs.google.com/spreadsheets/d/1lOVebEIsI9qjGXl6EX66luk7wiuP2tBaryw-wKvv4e0/edit?usp=sharing"",""แพร่!N146"")+IMPORTRANGE(""https://docs.google.com/spreadshe"&amp;"ets/d/1dQrvX0vEcN7Gu0fnZ0B5S90AeR19zth4XlExFBeExMY/edit?usp=sharing"",""แม่ฮ่องสอน!N146"")+IMPORTRANGE(""https://docs.google.com/spreadsheets/d/1DY4XTNNwjluuxqdfdn6qvOSlMRrZqUtmYcZR0ttFiG4/edit?usp=sharing"",""ลำปาง!N146"")+IMPORTRANGE(""https://docs.goog"&amp;"le.com/spreadsheets/d/1ICwG78r0OFT8biBlxnBF8r7she7gNSzOvJ958PWT09c/edit?usp=sharing"",""ลำพูน!N146"")+IMPORTRANGE(""https://docs.google.com/spreadsheets/d/1B0f2xJpZUC6Z0xXnqKlZtEPzsf6L84eP1r1Q15seqRM/edit?usp=sharing"",""สุโขทัย!N146"")+IMPORTRANGE(""http"&amp;"s://docs.google.com/spreadsheets/d/1v0b9pFQCsKUVExMei7AgY2yQkdeNQvtOssygGsXbiKo/edit?usp=sharing"",""อุตรดิตถ์!N146"")+IMPORTRANGE(""https://docs.google.com/spreadsheets/d/1UsNK1e-WWiCo2PvGqdNfdme4m17_Ezd3J69EeeiQPD0/edit?usp=sharing"",""อุทัยธานี!N146"")"),0)</f>
        <v>0</v>
      </c>
      <c r="O146" s="59">
        <f t="shared" ca="1" si="68"/>
        <v>0</v>
      </c>
      <c r="P146" s="59">
        <f t="shared" ca="1" si="69"/>
        <v>0</v>
      </c>
    </row>
    <row r="147" spans="1:16" ht="18.75" x14ac:dyDescent="0.25">
      <c r="A147" s="157"/>
      <c r="B147" s="53"/>
      <c r="C147" s="53"/>
      <c r="D147" s="53"/>
      <c r="E147" s="60" t="s">
        <v>19</v>
      </c>
      <c r="F147" s="53"/>
      <c r="G147" s="55"/>
      <c r="H147" s="166" t="s">
        <v>12</v>
      </c>
      <c r="I147" s="164"/>
      <c r="J147" s="164"/>
      <c r="K147" s="165"/>
      <c r="L147" s="59">
        <f ca="1">IFERROR(__xludf.DUMMYFUNCTION("IMPORTRANGE(""https://docs.google.com/spreadsheets/d/1jTcq05yEiRwXcBMLjiodW9e4biSGYWAHcDj22rKWQ3s/edit?usp=sharing"",""กำแพงเพชร!L147"")+IMPORTRANGE(""https://docs.google.com/spreadsheets/d/1KS0zmDSZPk8KnTAbGN-Xk6MtX1YRZD0ldgdt20K4CRk/edit?usp=sharing"","&amp;"""เชียงราย!L147"")+IMPORTRANGE(""https://docs.google.com/spreadsheets/d/1rEDxBtusbi64tE0zunoIbsTVV16HeL0oJ6trHQeQ7K8/edit?usp=sharing"",""เชียงใหม่!L147"")+IMPORTRANGE(""https://docs.google.com/spreadsheets/d/1W6MnUbDkMi6xHnHko_XkFDO9kkuL6Wqyc-6OCDFjW9I/e"&amp;"dit?usp=sharing"",""ตาก!L147"")+IMPORTRANGE(""https://docs.google.com/spreadsheets/d/1IQAWArduLkta9LpYo4a_ULsyqdta6-6aDDiwpUnQT6c/edit?usp=sharing"",""นครสวรรค์!L147"")+IMPORTRANGE(""https://docs.google.com/spreadsheets/d/10s13Sk5xrltsiR-Zkbmk5DwIaDIKO8Xl"&amp;"bJAfqyT7Gvg/edit?usp=sharing"",""น่าน!L147"")+IMPORTRANGE(""https://docs.google.com/spreadsheets/d/1uu4nAn4Dbi1XREnLKKotUANlKXa7yCgRcgq8HEzQYW8/edit?usp=sharing"",""พะเยา!L147"")+IMPORTRANGE(""https://docs.google.com/spreadsheets/d/1xfJKIQxVOaPDIICqsflNlL"&amp;"u3JacTDk1FP9RH4phX7mI/edit?usp=sharing"",""พิจิตร!L147"")+IMPORTRANGE(""https://docs.google.com/spreadsheets/d/1JtRfZkJMHtEhI5RdRHxYUG4FIZHqKDpNyIuN7A1Q0_k/edit?usp=sharing"",""พิษณุโลก!L147"")+IMPORTRANGE(""https://docs.google.com/spreadsheets/d/1xlcVZWU"&amp;"Nn6SuWm0c307h32SiGkd9BaeQWlAktfD3KO8/edit?usp=sharing"",""เพชรบูรณ์!L147"")+IMPORTRANGE(""https://docs.google.com/spreadsheets/d/1lOVebEIsI9qjGXl6EX66luk7wiuP2tBaryw-wKvv4e0/edit?usp=sharing"",""แพร่!L147"")+IMPORTRANGE(""https://docs.google.com/spreadshe"&amp;"ets/d/1dQrvX0vEcN7Gu0fnZ0B5S90AeR19zth4XlExFBeExMY/edit?usp=sharing"",""แม่ฮ่องสอน!L147"")+IMPORTRANGE(""https://docs.google.com/spreadsheets/d/1DY4XTNNwjluuxqdfdn6qvOSlMRrZqUtmYcZR0ttFiG4/edit?usp=sharing"",""ลำปาง!L147"")+IMPORTRANGE(""https://docs.goog"&amp;"le.com/spreadsheets/d/1ICwG78r0OFT8biBlxnBF8r7she7gNSzOvJ958PWT09c/edit?usp=sharing"",""ลำพูน!L147"")+IMPORTRANGE(""https://docs.google.com/spreadsheets/d/1B0f2xJpZUC6Z0xXnqKlZtEPzsf6L84eP1r1Q15seqRM/edit?usp=sharing"",""สุโขทัย!L147"")+IMPORTRANGE(""http"&amp;"s://docs.google.com/spreadsheets/d/1v0b9pFQCsKUVExMei7AgY2yQkdeNQvtOssygGsXbiKo/edit?usp=sharing"",""อุตรดิตถ์!L147"")+IMPORTRANGE(""https://docs.google.com/spreadsheets/d/1UsNK1e-WWiCo2PvGqdNfdme4m17_Ezd3J69EeeiQPD0/edit?usp=sharing"",""อุทัยธานี!L147"")"),0)</f>
        <v>0</v>
      </c>
      <c r="M147" s="59">
        <f ca="1">IFERROR(__xludf.DUMMYFUNCTION("IMPORTRANGE(""https://docs.google.com/spreadsheets/d/1jTcq05yEiRwXcBMLjiodW9e4biSGYWAHcDj22rKWQ3s/edit?usp=sharing"",""กำแพงเพชร!M147"")+IMPORTRANGE(""https://docs.google.com/spreadsheets/d/1KS0zmDSZPk8KnTAbGN-Xk6MtX1YRZD0ldgdt20K4CRk/edit?usp=sharing"","&amp;"""เชียงราย!M147"")+IMPORTRANGE(""https://docs.google.com/spreadsheets/d/1rEDxBtusbi64tE0zunoIbsTVV16HeL0oJ6trHQeQ7K8/edit?usp=sharing"",""เชียงใหม่!M147"")+IMPORTRANGE(""https://docs.google.com/spreadsheets/d/1W6MnUbDkMi6xHnHko_XkFDO9kkuL6Wqyc-6OCDFjW9I/e"&amp;"dit?usp=sharing"",""ตาก!M147"")+IMPORTRANGE(""https://docs.google.com/spreadsheets/d/1IQAWArduLkta9LpYo4a_ULsyqdta6-6aDDiwpUnQT6c/edit?usp=sharing"",""นครสวรรค์!M147"")+IMPORTRANGE(""https://docs.google.com/spreadsheets/d/10s13Sk5xrltsiR-Zkbmk5DwIaDIKO8Xl"&amp;"bJAfqyT7Gvg/edit?usp=sharing"",""น่าน!M147"")+IMPORTRANGE(""https://docs.google.com/spreadsheets/d/1uu4nAn4Dbi1XREnLKKotUANlKXa7yCgRcgq8HEzQYW8/edit?usp=sharing"",""พะเยา!M147"")+IMPORTRANGE(""https://docs.google.com/spreadsheets/d/1xfJKIQxVOaPDIICqsflNlL"&amp;"u3JacTDk1FP9RH4phX7mI/edit?usp=sharing"",""พิจิตร!M147"")+IMPORTRANGE(""https://docs.google.com/spreadsheets/d/1JtRfZkJMHtEhI5RdRHxYUG4FIZHqKDpNyIuN7A1Q0_k/edit?usp=sharing"",""พิษณุโลก!M147"")+IMPORTRANGE(""https://docs.google.com/spreadsheets/d/1xlcVZWU"&amp;"Nn6SuWm0c307h32SiGkd9BaeQWlAktfD3KO8/edit?usp=sharing"",""เพชรบูรณ์!M147"")+IMPORTRANGE(""https://docs.google.com/spreadsheets/d/1lOVebEIsI9qjGXl6EX66luk7wiuP2tBaryw-wKvv4e0/edit?usp=sharing"",""แพร่!M147"")+IMPORTRANGE(""https://docs.google.com/spreadshe"&amp;"ets/d/1dQrvX0vEcN7Gu0fnZ0B5S90AeR19zth4XlExFBeExMY/edit?usp=sharing"",""แม่ฮ่องสอน!M147"")+IMPORTRANGE(""https://docs.google.com/spreadsheets/d/1DY4XTNNwjluuxqdfdn6qvOSlMRrZqUtmYcZR0ttFiG4/edit?usp=sharing"",""ลำปาง!M147"")+IMPORTRANGE(""https://docs.goog"&amp;"le.com/spreadsheets/d/1ICwG78r0OFT8biBlxnBF8r7she7gNSzOvJ958PWT09c/edit?usp=sharing"",""ลำพูน!M147"")+IMPORTRANGE(""https://docs.google.com/spreadsheets/d/1B0f2xJpZUC6Z0xXnqKlZtEPzsf6L84eP1r1Q15seqRM/edit?usp=sharing"",""สุโขทัย!M147"")+IMPORTRANGE(""http"&amp;"s://docs.google.com/spreadsheets/d/1v0b9pFQCsKUVExMei7AgY2yQkdeNQvtOssygGsXbiKo/edit?usp=sharing"",""อุตรดิตถ์!M147"")+IMPORTRANGE(""https://docs.google.com/spreadsheets/d/1UsNK1e-WWiCo2PvGqdNfdme4m17_Ezd3J69EeeiQPD0/edit?usp=sharing"",""อุทัยธานี!M147"")"),0)</f>
        <v>0</v>
      </c>
      <c r="N147" s="59">
        <f ca="1">IFERROR(__xludf.DUMMYFUNCTION("IMPORTRANGE(""https://docs.google.com/spreadsheets/d/1jTcq05yEiRwXcBMLjiodW9e4biSGYWAHcDj22rKWQ3s/edit?usp=sharing"",""กำแพงเพชร!N147"")+IMPORTRANGE(""https://docs.google.com/spreadsheets/d/1KS0zmDSZPk8KnTAbGN-Xk6MtX1YRZD0ldgdt20K4CRk/edit?usp=sharing"","&amp;"""เชียงราย!N147"")+IMPORTRANGE(""https://docs.google.com/spreadsheets/d/1rEDxBtusbi64tE0zunoIbsTVV16HeL0oJ6trHQeQ7K8/edit?usp=sharing"",""เชียงใหม่!N147"")+IMPORTRANGE(""https://docs.google.com/spreadsheets/d/1W6MnUbDkMi6xHnHko_XkFDO9kkuL6Wqyc-6OCDFjW9I/e"&amp;"dit?usp=sharing"",""ตาก!N147"")+IMPORTRANGE(""https://docs.google.com/spreadsheets/d/1IQAWArduLkta9LpYo4a_ULsyqdta6-6aDDiwpUnQT6c/edit?usp=sharing"",""นครสวรรค์!N147"")+IMPORTRANGE(""https://docs.google.com/spreadsheets/d/10s13Sk5xrltsiR-Zkbmk5DwIaDIKO8Xl"&amp;"bJAfqyT7Gvg/edit?usp=sharing"",""น่าน!N147"")+IMPORTRANGE(""https://docs.google.com/spreadsheets/d/1uu4nAn4Dbi1XREnLKKotUANlKXa7yCgRcgq8HEzQYW8/edit?usp=sharing"",""พะเยา!N147"")+IMPORTRANGE(""https://docs.google.com/spreadsheets/d/1xfJKIQxVOaPDIICqsflNlL"&amp;"u3JacTDk1FP9RH4phX7mI/edit?usp=sharing"",""พิจิตร!N147"")+IMPORTRANGE(""https://docs.google.com/spreadsheets/d/1JtRfZkJMHtEhI5RdRHxYUG4FIZHqKDpNyIuN7A1Q0_k/edit?usp=sharing"",""พิษณุโลก!N147"")+IMPORTRANGE(""https://docs.google.com/spreadsheets/d/1xlcVZWU"&amp;"Nn6SuWm0c307h32SiGkd9BaeQWlAktfD3KO8/edit?usp=sharing"",""เพชรบูรณ์!N147"")+IMPORTRANGE(""https://docs.google.com/spreadsheets/d/1lOVebEIsI9qjGXl6EX66luk7wiuP2tBaryw-wKvv4e0/edit?usp=sharing"",""แพร่!N147"")+IMPORTRANGE(""https://docs.google.com/spreadshe"&amp;"ets/d/1dQrvX0vEcN7Gu0fnZ0B5S90AeR19zth4XlExFBeExMY/edit?usp=sharing"",""แม่ฮ่องสอน!N147"")+IMPORTRANGE(""https://docs.google.com/spreadsheets/d/1DY4XTNNwjluuxqdfdn6qvOSlMRrZqUtmYcZR0ttFiG4/edit?usp=sharing"",""ลำปาง!N147"")+IMPORTRANGE(""https://docs.goog"&amp;"le.com/spreadsheets/d/1ICwG78r0OFT8biBlxnBF8r7she7gNSzOvJ958PWT09c/edit?usp=sharing"",""ลำพูน!N147"")+IMPORTRANGE(""https://docs.google.com/spreadsheets/d/1B0f2xJpZUC6Z0xXnqKlZtEPzsf6L84eP1r1Q15seqRM/edit?usp=sharing"",""สุโขทัย!N147"")+IMPORTRANGE(""http"&amp;"s://docs.google.com/spreadsheets/d/1v0b9pFQCsKUVExMei7AgY2yQkdeNQvtOssygGsXbiKo/edit?usp=sharing"",""อุตรดิตถ์!N147"")+IMPORTRANGE(""https://docs.google.com/spreadsheets/d/1UsNK1e-WWiCo2PvGqdNfdme4m17_Ezd3J69EeeiQPD0/edit?usp=sharing"",""อุทัยธานี!N147"")"),0)</f>
        <v>0</v>
      </c>
      <c r="O147" s="59">
        <f t="shared" ca="1" si="68"/>
        <v>0</v>
      </c>
      <c r="P147" s="59">
        <f t="shared" ca="1" si="69"/>
        <v>0</v>
      </c>
    </row>
    <row r="148" spans="1:16" ht="19.5" x14ac:dyDescent="0.3">
      <c r="A148" s="167"/>
      <c r="B148" s="168"/>
      <c r="C148" s="158" t="s">
        <v>16</v>
      </c>
      <c r="D148" s="169" t="s">
        <v>36</v>
      </c>
      <c r="E148" s="170"/>
      <c r="F148" s="170"/>
      <c r="G148" s="171"/>
      <c r="H148" s="225"/>
      <c r="I148" s="57"/>
      <c r="J148" s="57"/>
      <c r="K148" s="58"/>
      <c r="L148" s="58"/>
      <c r="M148" s="58"/>
      <c r="N148" s="58"/>
      <c r="O148" s="58"/>
      <c r="P148" s="58"/>
    </row>
    <row r="149" spans="1:16" ht="18.75" x14ac:dyDescent="0.25">
      <c r="A149" s="157"/>
      <c r="B149" s="53"/>
      <c r="C149" s="53"/>
      <c r="D149" s="60" t="s">
        <v>57</v>
      </c>
      <c r="E149" s="53"/>
      <c r="F149" s="53"/>
      <c r="G149" s="55"/>
      <c r="H149" s="225"/>
      <c r="I149" s="57"/>
      <c r="J149" s="194">
        <f ca="1">IFERROR(__xludf.DUMMYFUNCTION("IMPORTRANGE(""https://docs.google.com/spreadsheets/d/1jTcq05yEiRwXcBMLjiodW9e4biSGYWAHcDj22rKWQ3s/edit?usp=sharing"",""กำแพงเพชร!J149"")+IMPORTRANGE(""https://docs.google.com/spreadsheets/d/1KS0zmDSZPk8KnTAbGN-Xk6MtX1YRZD0ldgdt20K4CRk/edit?usp=sharing"","&amp;"""เชียงราย!J149"")+IMPORTRANGE(""https://docs.google.com/spreadsheets/d/1rEDxBtusbi64tE0zunoIbsTVV16HeL0oJ6trHQeQ7K8/edit?usp=sharing"",""เชียงใหม่!J149"")+IMPORTRANGE(""https://docs.google.com/spreadsheets/d/1W6MnUbDkMi6xHnHko_XkFDO9kkuL6Wqyc-6OCDFjW9I/e"&amp;"dit?usp=sharing"",""ตาก!J149"")+IMPORTRANGE(""https://docs.google.com/spreadsheets/d/1IQAWArduLkta9LpYo4a_ULsyqdta6-6aDDiwpUnQT6c/edit?usp=sharing"",""นครสวรรค์!J149"")+IMPORTRANGE(""https://docs.google.com/spreadsheets/d/10s13Sk5xrltsiR-Zkbmk5DwIaDIKO8Xl"&amp;"bJAfqyT7Gvg/edit?usp=sharing"",""น่าน!J149"")+IMPORTRANGE(""https://docs.google.com/spreadsheets/d/1uu4nAn4Dbi1XREnLKKotUANlKXa7yCgRcgq8HEzQYW8/edit?usp=sharing"",""พะเยา!J149"")+IMPORTRANGE(""https://docs.google.com/spreadsheets/d/1xfJKIQxVOaPDIICqsflNlL"&amp;"u3JacTDk1FP9RH4phX7mI/edit?usp=sharing"",""พิจิตร!J149"")+IMPORTRANGE(""https://docs.google.com/spreadsheets/d/1JtRfZkJMHtEhI5RdRHxYUG4FIZHqKDpNyIuN7A1Q0_k/edit?usp=sharing"",""พิษณุโลก!J149"")+IMPORTRANGE(""https://docs.google.com/spreadsheets/d/1xlcVZWU"&amp;"Nn6SuWm0c307h32SiGkd9BaeQWlAktfD3KO8/edit?usp=sharing"",""เพชรบูรณ์!J149"")+IMPORTRANGE(""https://docs.google.com/spreadsheets/d/1lOVebEIsI9qjGXl6EX66luk7wiuP2tBaryw-wKvv4e0/edit?usp=sharing"",""แพร่!J149"")+IMPORTRANGE(""https://docs.google.com/spreadshe"&amp;"ets/d/1dQrvX0vEcN7Gu0fnZ0B5S90AeR19zth4XlExFBeExMY/edit?usp=sharing"",""แม่ฮ่องสอน!J149"")+IMPORTRANGE(""https://docs.google.com/spreadsheets/d/1DY4XTNNwjluuxqdfdn6qvOSlMRrZqUtmYcZR0ttFiG4/edit?usp=sharing"",""ลำปาง!J149"")+IMPORTRANGE(""https://docs.goog"&amp;"le.com/spreadsheets/d/1ICwG78r0OFT8biBlxnBF8r7she7gNSzOvJ958PWT09c/edit?usp=sharing"",""ลำพูน!J149"")+IMPORTRANGE(""https://docs.google.com/spreadsheets/d/1B0f2xJpZUC6Z0xXnqKlZtEPzsf6L84eP1r1Q15seqRM/edit?usp=sharing"",""สุโขทัย!J149"")+IMPORTRANGE(""http"&amp;"s://docs.google.com/spreadsheets/d/1v0b9pFQCsKUVExMei7AgY2yQkdeNQvtOssygGsXbiKo/edit?usp=sharing"",""อุตรดิตถ์!J149"")+IMPORTRANGE(""https://docs.google.com/spreadsheets/d/1UsNK1e-WWiCo2PvGqdNfdme4m17_Ezd3J69EeeiQPD0/edit?usp=sharing"",""อุทัยธานี!J149"")"),0)</f>
        <v>0</v>
      </c>
      <c r="K149" s="58"/>
      <c r="L149" s="58"/>
      <c r="M149" s="58"/>
      <c r="N149" s="58"/>
      <c r="O149" s="58"/>
      <c r="P149" s="58"/>
    </row>
    <row r="150" spans="1:16" ht="19.5" x14ac:dyDescent="0.3">
      <c r="A150" s="226"/>
      <c r="B150" s="63"/>
      <c r="C150" s="63"/>
      <c r="D150" s="227"/>
      <c r="E150" s="228" t="s">
        <v>58</v>
      </c>
      <c r="F150" s="63"/>
      <c r="G150" s="65"/>
      <c r="H150" s="229" t="s">
        <v>33</v>
      </c>
      <c r="I150" s="230">
        <f ca="1">IFERROR(__xludf.DUMMYFUNCTION("IMPORTRANGE(""https://docs.google.com/spreadsheets/d/1jTcq05yEiRwXcBMLjiodW9e4biSGYWAHcDj22rKWQ3s/edit?usp=sharing"",""กำแพงเพชร!I150"")+IMPORTRANGE(""https://docs.google.com/spreadsheets/d/1KS0zmDSZPk8KnTAbGN-Xk6MtX1YRZD0ldgdt20K4CRk/edit?usp=sharing"","&amp;"""เชียงราย!I150"")+IMPORTRANGE(""https://docs.google.com/spreadsheets/d/1rEDxBtusbi64tE0zunoIbsTVV16HeL0oJ6trHQeQ7K8/edit?usp=sharing"",""เชียงใหม่!I150"")+IMPORTRANGE(""https://docs.google.com/spreadsheets/d/1W6MnUbDkMi6xHnHko_XkFDO9kkuL6Wqyc-6OCDFjW9I/e"&amp;"dit?usp=sharing"",""ตาก!I150"")+IMPORTRANGE(""https://docs.google.com/spreadsheets/d/1IQAWArduLkta9LpYo4a_ULsyqdta6-6aDDiwpUnQT6c/edit?usp=sharing"",""นครสวรรค์!I150"")+IMPORTRANGE(""https://docs.google.com/spreadsheets/d/10s13Sk5xrltsiR-Zkbmk5DwIaDIKO8Xl"&amp;"bJAfqyT7Gvg/edit?usp=sharing"",""น่าน!I150"")+IMPORTRANGE(""https://docs.google.com/spreadsheets/d/1uu4nAn4Dbi1XREnLKKotUANlKXa7yCgRcgq8HEzQYW8/edit?usp=sharing"",""พะเยา!I150"")+IMPORTRANGE(""https://docs.google.com/spreadsheets/d/1xfJKIQxVOaPDIICqsflNlL"&amp;"u3JacTDk1FP9RH4phX7mI/edit?usp=sharing"",""พิจิตร!I150"")+IMPORTRANGE(""https://docs.google.com/spreadsheets/d/1JtRfZkJMHtEhI5RdRHxYUG4FIZHqKDpNyIuN7A1Q0_k/edit?usp=sharing"",""พิษณุโลก!I150"")+IMPORTRANGE(""https://docs.google.com/spreadsheets/d/1xlcVZWU"&amp;"Nn6SuWm0c307h32SiGkd9BaeQWlAktfD3KO8/edit?usp=sharing"",""เพชรบูรณ์!I150"")+IMPORTRANGE(""https://docs.google.com/spreadsheets/d/1lOVebEIsI9qjGXl6EX66luk7wiuP2tBaryw-wKvv4e0/edit?usp=sharing"",""แพร่!I150"")+IMPORTRANGE(""https://docs.google.com/spreadshe"&amp;"ets/d/1dQrvX0vEcN7Gu0fnZ0B5S90AeR19zth4XlExFBeExMY/edit?usp=sharing"",""แม่ฮ่องสอน!I150"")+IMPORTRANGE(""https://docs.google.com/spreadsheets/d/1DY4XTNNwjluuxqdfdn6qvOSlMRrZqUtmYcZR0ttFiG4/edit?usp=sharing"",""ลำปาง!I150"")+IMPORTRANGE(""https://docs.goog"&amp;"le.com/spreadsheets/d/1ICwG78r0OFT8biBlxnBF8r7she7gNSzOvJ958PWT09c/edit?usp=sharing"",""ลำพูน!I150"")+IMPORTRANGE(""https://docs.google.com/spreadsheets/d/1B0f2xJpZUC6Z0xXnqKlZtEPzsf6L84eP1r1Q15seqRM/edit?usp=sharing"",""สุโขทัย!I150"")+IMPORTRANGE(""http"&amp;"s://docs.google.com/spreadsheets/d/1v0b9pFQCsKUVExMei7AgY2yQkdeNQvtOssygGsXbiKo/edit?usp=sharing"",""อุตรดิตถ์!I150"")+IMPORTRANGE(""https://docs.google.com/spreadsheets/d/1UsNK1e-WWiCo2PvGqdNfdme4m17_Ezd3J69EeeiQPD0/edit?usp=sharing"",""อุทัยธานี!I150"")"),150)</f>
        <v>150</v>
      </c>
      <c r="J150" s="230">
        <f ca="1">IFERROR(__xludf.DUMMYFUNCTION("IMPORTRANGE(""https://docs.google.com/spreadsheets/d/1jTcq05yEiRwXcBMLjiodW9e4biSGYWAHcDj22rKWQ3s/edit?usp=sharing"",""กำแพงเพชร!J150"")+IMPORTRANGE(""https://docs.google.com/spreadsheets/d/1KS0zmDSZPk8KnTAbGN-Xk6MtX1YRZD0ldgdt20K4CRk/edit?usp=sharing"","&amp;"""เชียงราย!J150"")+IMPORTRANGE(""https://docs.google.com/spreadsheets/d/1rEDxBtusbi64tE0zunoIbsTVV16HeL0oJ6trHQeQ7K8/edit?usp=sharing"",""เชียงใหม่!J150"")+IMPORTRANGE(""https://docs.google.com/spreadsheets/d/1W6MnUbDkMi6xHnHko_XkFDO9kkuL6Wqyc-6OCDFjW9I/e"&amp;"dit?usp=sharing"",""ตาก!J150"")+IMPORTRANGE(""https://docs.google.com/spreadsheets/d/1IQAWArduLkta9LpYo4a_ULsyqdta6-6aDDiwpUnQT6c/edit?usp=sharing"",""นครสวรรค์!J150"")+IMPORTRANGE(""https://docs.google.com/spreadsheets/d/10s13Sk5xrltsiR-Zkbmk5DwIaDIKO8Xl"&amp;"bJAfqyT7Gvg/edit?usp=sharing"",""น่าน!J150"")+IMPORTRANGE(""https://docs.google.com/spreadsheets/d/1uu4nAn4Dbi1XREnLKKotUANlKXa7yCgRcgq8HEzQYW8/edit?usp=sharing"",""พะเยา!J150"")+IMPORTRANGE(""https://docs.google.com/spreadsheets/d/1xfJKIQxVOaPDIICqsflNlL"&amp;"u3JacTDk1FP9RH4phX7mI/edit?usp=sharing"",""พิจิตร!J150"")+IMPORTRANGE(""https://docs.google.com/spreadsheets/d/1JtRfZkJMHtEhI5RdRHxYUG4FIZHqKDpNyIuN7A1Q0_k/edit?usp=sharing"",""พิษณุโลก!J150"")+IMPORTRANGE(""https://docs.google.com/spreadsheets/d/1xlcVZWU"&amp;"Nn6SuWm0c307h32SiGkd9BaeQWlAktfD3KO8/edit?usp=sharing"",""เพชรบูรณ์!J150"")+IMPORTRANGE(""https://docs.google.com/spreadsheets/d/1lOVebEIsI9qjGXl6EX66luk7wiuP2tBaryw-wKvv4e0/edit?usp=sharing"",""แพร่!J150"")+IMPORTRANGE(""https://docs.google.com/spreadshe"&amp;"ets/d/1dQrvX0vEcN7Gu0fnZ0B5S90AeR19zth4XlExFBeExMY/edit?usp=sharing"",""แม่ฮ่องสอน!J150"")+IMPORTRANGE(""https://docs.google.com/spreadsheets/d/1DY4XTNNwjluuxqdfdn6qvOSlMRrZqUtmYcZR0ttFiG4/edit?usp=sharing"",""ลำปาง!J150"")+IMPORTRANGE(""https://docs.goog"&amp;"le.com/spreadsheets/d/1ICwG78r0OFT8biBlxnBF8r7she7gNSzOvJ958PWT09c/edit?usp=sharing"",""ลำพูน!J150"")+IMPORTRANGE(""https://docs.google.com/spreadsheets/d/1B0f2xJpZUC6Z0xXnqKlZtEPzsf6L84eP1r1Q15seqRM/edit?usp=sharing"",""สุโขทัย!J150"")+IMPORTRANGE(""http"&amp;"s://docs.google.com/spreadsheets/d/1v0b9pFQCsKUVExMei7AgY2yQkdeNQvtOssygGsXbiKo/edit?usp=sharing"",""อุตรดิตถ์!J150"")+IMPORTRANGE(""https://docs.google.com/spreadsheets/d/1UsNK1e-WWiCo2PvGqdNfdme4m17_Ezd3J69EeeiQPD0/edit?usp=sharing"",""อุทัยธานี!J150"")"),0)</f>
        <v>0</v>
      </c>
      <c r="K150" s="69">
        <f t="shared" ref="K150:K154" ca="1" si="74">IF(I150&gt;0,J150*100/I150,0)</f>
        <v>0</v>
      </c>
      <c r="L150" s="68"/>
      <c r="M150" s="68"/>
      <c r="N150" s="68"/>
      <c r="O150" s="68"/>
      <c r="P150" s="68"/>
    </row>
    <row r="151" spans="1:16" ht="18.75" x14ac:dyDescent="0.25">
      <c r="A151" s="226"/>
      <c r="B151" s="63"/>
      <c r="C151" s="63"/>
      <c r="D151" s="227"/>
      <c r="E151" s="231"/>
      <c r="F151" s="63"/>
      <c r="G151" s="65"/>
      <c r="H151" s="232" t="s">
        <v>56</v>
      </c>
      <c r="I151" s="233">
        <f ca="1">IFERROR(__xludf.DUMMYFUNCTION("IMPORTRANGE(""https://docs.google.com/spreadsheets/d/1jTcq05yEiRwXcBMLjiodW9e4biSGYWAHcDj22rKWQ3s/edit?usp=sharing"",""กำแพงเพชร!I151"")+IMPORTRANGE(""https://docs.google.com/spreadsheets/d/1KS0zmDSZPk8KnTAbGN-Xk6MtX1YRZD0ldgdt20K4CRk/edit?usp=sharing"","&amp;"""เชียงราย!I151"")+IMPORTRANGE(""https://docs.google.com/spreadsheets/d/1rEDxBtusbi64tE0zunoIbsTVV16HeL0oJ6trHQeQ7K8/edit?usp=sharing"",""เชียงใหม่!I151"")+IMPORTRANGE(""https://docs.google.com/spreadsheets/d/1W6MnUbDkMi6xHnHko_XkFDO9kkuL6Wqyc-6OCDFjW9I/e"&amp;"dit?usp=sharing"",""ตาก!I151"")+IMPORTRANGE(""https://docs.google.com/spreadsheets/d/1IQAWArduLkta9LpYo4a_ULsyqdta6-6aDDiwpUnQT6c/edit?usp=sharing"",""นครสวรรค์!I151"")+IMPORTRANGE(""https://docs.google.com/spreadsheets/d/10s13Sk5xrltsiR-Zkbmk5DwIaDIKO8Xl"&amp;"bJAfqyT7Gvg/edit?usp=sharing"",""น่าน!I151"")+IMPORTRANGE(""https://docs.google.com/spreadsheets/d/1uu4nAn4Dbi1XREnLKKotUANlKXa7yCgRcgq8HEzQYW8/edit?usp=sharing"",""พะเยา!I151"")+IMPORTRANGE(""https://docs.google.com/spreadsheets/d/1xfJKIQxVOaPDIICqsflNlL"&amp;"u3JacTDk1FP9RH4phX7mI/edit?usp=sharing"",""พิจิตร!I151"")+IMPORTRANGE(""https://docs.google.com/spreadsheets/d/1JtRfZkJMHtEhI5RdRHxYUG4FIZHqKDpNyIuN7A1Q0_k/edit?usp=sharing"",""พิษณุโลก!I151"")+IMPORTRANGE(""https://docs.google.com/spreadsheets/d/1xlcVZWU"&amp;"Nn6SuWm0c307h32SiGkd9BaeQWlAktfD3KO8/edit?usp=sharing"",""เพชรบูรณ์!I151"")+IMPORTRANGE(""https://docs.google.com/spreadsheets/d/1lOVebEIsI9qjGXl6EX66luk7wiuP2tBaryw-wKvv4e0/edit?usp=sharing"",""แพร่!I151"")+IMPORTRANGE(""https://docs.google.com/spreadshe"&amp;"ets/d/1dQrvX0vEcN7Gu0fnZ0B5S90AeR19zth4XlExFBeExMY/edit?usp=sharing"",""แม่ฮ่องสอน!I151"")+IMPORTRANGE(""https://docs.google.com/spreadsheets/d/1DY4XTNNwjluuxqdfdn6qvOSlMRrZqUtmYcZR0ttFiG4/edit?usp=sharing"",""ลำปาง!I151"")+IMPORTRANGE(""https://docs.goog"&amp;"le.com/spreadsheets/d/1ICwG78r0OFT8biBlxnBF8r7she7gNSzOvJ958PWT09c/edit?usp=sharing"",""ลำพูน!I151"")+IMPORTRANGE(""https://docs.google.com/spreadsheets/d/1B0f2xJpZUC6Z0xXnqKlZtEPzsf6L84eP1r1Q15seqRM/edit?usp=sharing"",""สุโขทัย!I151"")+IMPORTRANGE(""http"&amp;"s://docs.google.com/spreadsheets/d/1v0b9pFQCsKUVExMei7AgY2yQkdeNQvtOssygGsXbiKo/edit?usp=sharing"",""อุตรดิตถ์!I151"")+IMPORTRANGE(""https://docs.google.com/spreadsheets/d/1UsNK1e-WWiCo2PvGqdNfdme4m17_Ezd3J69EeeiQPD0/edit?usp=sharing"",""อุทัยธานี!I151"")"),15)</f>
        <v>15</v>
      </c>
      <c r="J151" s="233">
        <f ca="1">IFERROR(__xludf.DUMMYFUNCTION("IMPORTRANGE(""https://docs.google.com/spreadsheets/d/1jTcq05yEiRwXcBMLjiodW9e4biSGYWAHcDj22rKWQ3s/edit?usp=sharing"",""กำแพงเพชร!J151"")+IMPORTRANGE(""https://docs.google.com/spreadsheets/d/1KS0zmDSZPk8KnTAbGN-Xk6MtX1YRZD0ldgdt20K4CRk/edit?usp=sharing"","&amp;"""เชียงราย!J151"")+IMPORTRANGE(""https://docs.google.com/spreadsheets/d/1rEDxBtusbi64tE0zunoIbsTVV16HeL0oJ6trHQeQ7K8/edit?usp=sharing"",""เชียงใหม่!J151"")+IMPORTRANGE(""https://docs.google.com/spreadsheets/d/1W6MnUbDkMi6xHnHko_XkFDO9kkuL6Wqyc-6OCDFjW9I/e"&amp;"dit?usp=sharing"",""ตาก!J151"")+IMPORTRANGE(""https://docs.google.com/spreadsheets/d/1IQAWArduLkta9LpYo4a_ULsyqdta6-6aDDiwpUnQT6c/edit?usp=sharing"",""นครสวรรค์!J151"")+IMPORTRANGE(""https://docs.google.com/spreadsheets/d/10s13Sk5xrltsiR-Zkbmk5DwIaDIKO8Xl"&amp;"bJAfqyT7Gvg/edit?usp=sharing"",""น่าน!J151"")+IMPORTRANGE(""https://docs.google.com/spreadsheets/d/1uu4nAn4Dbi1XREnLKKotUANlKXa7yCgRcgq8HEzQYW8/edit?usp=sharing"",""พะเยา!J151"")+IMPORTRANGE(""https://docs.google.com/spreadsheets/d/1xfJKIQxVOaPDIICqsflNlL"&amp;"u3JacTDk1FP9RH4phX7mI/edit?usp=sharing"",""พิจิตร!J151"")+IMPORTRANGE(""https://docs.google.com/spreadsheets/d/1JtRfZkJMHtEhI5RdRHxYUG4FIZHqKDpNyIuN7A1Q0_k/edit?usp=sharing"",""พิษณุโลก!J151"")+IMPORTRANGE(""https://docs.google.com/spreadsheets/d/1xlcVZWU"&amp;"Nn6SuWm0c307h32SiGkd9BaeQWlAktfD3KO8/edit?usp=sharing"",""เพชรบูรณ์!J151"")+IMPORTRANGE(""https://docs.google.com/spreadsheets/d/1lOVebEIsI9qjGXl6EX66luk7wiuP2tBaryw-wKvv4e0/edit?usp=sharing"",""แพร่!J151"")+IMPORTRANGE(""https://docs.google.com/spreadshe"&amp;"ets/d/1dQrvX0vEcN7Gu0fnZ0B5S90AeR19zth4XlExFBeExMY/edit?usp=sharing"",""แม่ฮ่องสอน!J151"")+IMPORTRANGE(""https://docs.google.com/spreadsheets/d/1DY4XTNNwjluuxqdfdn6qvOSlMRrZqUtmYcZR0ttFiG4/edit?usp=sharing"",""ลำปาง!J151"")+IMPORTRANGE(""https://docs.goog"&amp;"le.com/spreadsheets/d/1ICwG78r0OFT8biBlxnBF8r7she7gNSzOvJ958PWT09c/edit?usp=sharing"",""ลำพูน!J151"")+IMPORTRANGE(""https://docs.google.com/spreadsheets/d/1B0f2xJpZUC6Z0xXnqKlZtEPzsf6L84eP1r1Q15seqRM/edit?usp=sharing"",""สุโขทัย!J151"")+IMPORTRANGE(""http"&amp;"s://docs.google.com/spreadsheets/d/1v0b9pFQCsKUVExMei7AgY2yQkdeNQvtOssygGsXbiKo/edit?usp=sharing"",""อุตรดิตถ์!J151"")+IMPORTRANGE(""https://docs.google.com/spreadsheets/d/1UsNK1e-WWiCo2PvGqdNfdme4m17_Ezd3J69EeeiQPD0/edit?usp=sharing"",""อุทัยธานี!J151"")"),0)</f>
        <v>0</v>
      </c>
      <c r="K151" s="69">
        <f t="shared" ca="1" si="74"/>
        <v>0</v>
      </c>
      <c r="L151" s="68"/>
      <c r="M151" s="68"/>
      <c r="N151" s="68"/>
      <c r="O151" s="68"/>
      <c r="P151" s="68"/>
    </row>
    <row r="152" spans="1:16" ht="19.5" x14ac:dyDescent="0.3">
      <c r="A152" s="226"/>
      <c r="B152" s="63"/>
      <c r="C152" s="63"/>
      <c r="D152" s="227"/>
      <c r="E152" s="228" t="s">
        <v>59</v>
      </c>
      <c r="F152" s="63"/>
      <c r="G152" s="65"/>
      <c r="H152" s="229" t="s">
        <v>33</v>
      </c>
      <c r="I152" s="230">
        <f ca="1">IFERROR(__xludf.DUMMYFUNCTION("IMPORTRANGE(""https://docs.google.com/spreadsheets/d/1jTcq05yEiRwXcBMLjiodW9e4biSGYWAHcDj22rKWQ3s/edit?usp=sharing"",""กำแพงเพชร!I152"")+IMPORTRANGE(""https://docs.google.com/spreadsheets/d/1KS0zmDSZPk8KnTAbGN-Xk6MtX1YRZD0ldgdt20K4CRk/edit?usp=sharing"","&amp;"""เชียงราย!I152"")+IMPORTRANGE(""https://docs.google.com/spreadsheets/d/1rEDxBtusbi64tE0zunoIbsTVV16HeL0oJ6trHQeQ7K8/edit?usp=sharing"",""เชียงใหม่!I152"")+IMPORTRANGE(""https://docs.google.com/spreadsheets/d/1W6MnUbDkMi6xHnHko_XkFDO9kkuL6Wqyc-6OCDFjW9I/e"&amp;"dit?usp=sharing"",""ตาก!I152"")+IMPORTRANGE(""https://docs.google.com/spreadsheets/d/1IQAWArduLkta9LpYo4a_ULsyqdta6-6aDDiwpUnQT6c/edit?usp=sharing"",""นครสวรรค์!I152"")+IMPORTRANGE(""https://docs.google.com/spreadsheets/d/10s13Sk5xrltsiR-Zkbmk5DwIaDIKO8Xl"&amp;"bJAfqyT7Gvg/edit?usp=sharing"",""น่าน!I152"")+IMPORTRANGE(""https://docs.google.com/spreadsheets/d/1uu4nAn4Dbi1XREnLKKotUANlKXa7yCgRcgq8HEzQYW8/edit?usp=sharing"",""พะเยา!I152"")+IMPORTRANGE(""https://docs.google.com/spreadsheets/d/1xfJKIQxVOaPDIICqsflNlL"&amp;"u3JacTDk1FP9RH4phX7mI/edit?usp=sharing"",""พิจิตร!I152"")+IMPORTRANGE(""https://docs.google.com/spreadsheets/d/1JtRfZkJMHtEhI5RdRHxYUG4FIZHqKDpNyIuN7A1Q0_k/edit?usp=sharing"",""พิษณุโลก!I152"")+IMPORTRANGE(""https://docs.google.com/spreadsheets/d/1xlcVZWU"&amp;"Nn6SuWm0c307h32SiGkd9BaeQWlAktfD3KO8/edit?usp=sharing"",""เพชรบูรณ์!I152"")+IMPORTRANGE(""https://docs.google.com/spreadsheets/d/1lOVebEIsI9qjGXl6EX66luk7wiuP2tBaryw-wKvv4e0/edit?usp=sharing"",""แพร่!I152"")+IMPORTRANGE(""https://docs.google.com/spreadshe"&amp;"ets/d/1dQrvX0vEcN7Gu0fnZ0B5S90AeR19zth4XlExFBeExMY/edit?usp=sharing"",""แม่ฮ่องสอน!I152"")+IMPORTRANGE(""https://docs.google.com/spreadsheets/d/1DY4XTNNwjluuxqdfdn6qvOSlMRrZqUtmYcZR0ttFiG4/edit?usp=sharing"",""ลำปาง!I152"")+IMPORTRANGE(""https://docs.goog"&amp;"le.com/spreadsheets/d/1ICwG78r0OFT8biBlxnBF8r7she7gNSzOvJ958PWT09c/edit?usp=sharing"",""ลำพูน!I152"")+IMPORTRANGE(""https://docs.google.com/spreadsheets/d/1B0f2xJpZUC6Z0xXnqKlZtEPzsf6L84eP1r1Q15seqRM/edit?usp=sharing"",""สุโขทัย!I152"")+IMPORTRANGE(""http"&amp;"s://docs.google.com/spreadsheets/d/1v0b9pFQCsKUVExMei7AgY2yQkdeNQvtOssygGsXbiKo/edit?usp=sharing"",""อุตรดิตถ์!I152"")+IMPORTRANGE(""https://docs.google.com/spreadsheets/d/1UsNK1e-WWiCo2PvGqdNfdme4m17_Ezd3J69EeeiQPD0/edit?usp=sharing"",""อุทัยธานี!I152"")"),400)</f>
        <v>400</v>
      </c>
      <c r="J152" s="233">
        <f ca="1">IFERROR(__xludf.DUMMYFUNCTION("IMPORTRANGE(""https://docs.google.com/spreadsheets/d/1jTcq05yEiRwXcBMLjiodW9e4biSGYWAHcDj22rKWQ3s/edit?usp=sharing"",""กำแพงเพชร!J152"")+IMPORTRANGE(""https://docs.google.com/spreadsheets/d/1KS0zmDSZPk8KnTAbGN-Xk6MtX1YRZD0ldgdt20K4CRk/edit?usp=sharing"","&amp;"""เชียงราย!J152"")+IMPORTRANGE(""https://docs.google.com/spreadsheets/d/1rEDxBtusbi64tE0zunoIbsTVV16HeL0oJ6trHQeQ7K8/edit?usp=sharing"",""เชียงใหม่!J152"")+IMPORTRANGE(""https://docs.google.com/spreadsheets/d/1W6MnUbDkMi6xHnHko_XkFDO9kkuL6Wqyc-6OCDFjW9I/e"&amp;"dit?usp=sharing"",""ตาก!J152"")+IMPORTRANGE(""https://docs.google.com/spreadsheets/d/1IQAWArduLkta9LpYo4a_ULsyqdta6-6aDDiwpUnQT6c/edit?usp=sharing"",""นครสวรรค์!J152"")+IMPORTRANGE(""https://docs.google.com/spreadsheets/d/10s13Sk5xrltsiR-Zkbmk5DwIaDIKO8Xl"&amp;"bJAfqyT7Gvg/edit?usp=sharing"",""น่าน!J152"")+IMPORTRANGE(""https://docs.google.com/spreadsheets/d/1uu4nAn4Dbi1XREnLKKotUANlKXa7yCgRcgq8HEzQYW8/edit?usp=sharing"",""พะเยา!J152"")+IMPORTRANGE(""https://docs.google.com/spreadsheets/d/1xfJKIQxVOaPDIICqsflNlL"&amp;"u3JacTDk1FP9RH4phX7mI/edit?usp=sharing"",""พิจิตร!J152"")+IMPORTRANGE(""https://docs.google.com/spreadsheets/d/1JtRfZkJMHtEhI5RdRHxYUG4FIZHqKDpNyIuN7A1Q0_k/edit?usp=sharing"",""พิษณุโลก!J152"")+IMPORTRANGE(""https://docs.google.com/spreadsheets/d/1xlcVZWU"&amp;"Nn6SuWm0c307h32SiGkd9BaeQWlAktfD3KO8/edit?usp=sharing"",""เพชรบูรณ์!J152"")+IMPORTRANGE(""https://docs.google.com/spreadsheets/d/1lOVebEIsI9qjGXl6EX66luk7wiuP2tBaryw-wKvv4e0/edit?usp=sharing"",""แพร่!J152"")+IMPORTRANGE(""https://docs.google.com/spreadshe"&amp;"ets/d/1dQrvX0vEcN7Gu0fnZ0B5S90AeR19zth4XlExFBeExMY/edit?usp=sharing"",""แม่ฮ่องสอน!J152"")+IMPORTRANGE(""https://docs.google.com/spreadsheets/d/1DY4XTNNwjluuxqdfdn6qvOSlMRrZqUtmYcZR0ttFiG4/edit?usp=sharing"",""ลำปาง!J152"")+IMPORTRANGE(""https://docs.goog"&amp;"le.com/spreadsheets/d/1ICwG78r0OFT8biBlxnBF8r7she7gNSzOvJ958PWT09c/edit?usp=sharing"",""ลำพูน!J152"")+IMPORTRANGE(""https://docs.google.com/spreadsheets/d/1B0f2xJpZUC6Z0xXnqKlZtEPzsf6L84eP1r1Q15seqRM/edit?usp=sharing"",""สุโขทัย!J152"")+IMPORTRANGE(""http"&amp;"s://docs.google.com/spreadsheets/d/1v0b9pFQCsKUVExMei7AgY2yQkdeNQvtOssygGsXbiKo/edit?usp=sharing"",""อุตรดิตถ์!J152"")+IMPORTRANGE(""https://docs.google.com/spreadsheets/d/1UsNK1e-WWiCo2PvGqdNfdme4m17_Ezd3J69EeeiQPD0/edit?usp=sharing"",""อุทัยธานี!J152"")"),10)</f>
        <v>10</v>
      </c>
      <c r="K152" s="69">
        <f t="shared" ca="1" si="74"/>
        <v>2.5</v>
      </c>
      <c r="L152" s="68"/>
      <c r="M152" s="68"/>
      <c r="N152" s="68"/>
      <c r="O152" s="68"/>
      <c r="P152" s="68"/>
    </row>
    <row r="153" spans="1:16" ht="19.5" x14ac:dyDescent="0.3">
      <c r="A153" s="226"/>
      <c r="B153" s="63"/>
      <c r="C153" s="63"/>
      <c r="D153" s="231"/>
      <c r="E153" s="234"/>
      <c r="F153" s="63"/>
      <c r="G153" s="65"/>
      <c r="H153" s="232" t="s">
        <v>56</v>
      </c>
      <c r="I153" s="233">
        <f ca="1">IFERROR(__xludf.DUMMYFUNCTION("IMPORTRANGE(""https://docs.google.com/spreadsheets/d/1jTcq05yEiRwXcBMLjiodW9e4biSGYWAHcDj22rKWQ3s/edit?usp=sharing"",""กำแพงเพชร!I153"")+IMPORTRANGE(""https://docs.google.com/spreadsheets/d/1KS0zmDSZPk8KnTAbGN-Xk6MtX1YRZD0ldgdt20K4CRk/edit?usp=sharing"","&amp;"""เชียงราย!I153"")+IMPORTRANGE(""https://docs.google.com/spreadsheets/d/1rEDxBtusbi64tE0zunoIbsTVV16HeL0oJ6trHQeQ7K8/edit?usp=sharing"",""เชียงใหม่!I153"")+IMPORTRANGE(""https://docs.google.com/spreadsheets/d/1W6MnUbDkMi6xHnHko_XkFDO9kkuL6Wqyc-6OCDFjW9I/e"&amp;"dit?usp=sharing"",""ตาก!I153"")+IMPORTRANGE(""https://docs.google.com/spreadsheets/d/1IQAWArduLkta9LpYo4a_ULsyqdta6-6aDDiwpUnQT6c/edit?usp=sharing"",""นครสวรรค์!I153"")+IMPORTRANGE(""https://docs.google.com/spreadsheets/d/10s13Sk5xrltsiR-Zkbmk5DwIaDIKO8Xl"&amp;"bJAfqyT7Gvg/edit?usp=sharing"",""น่าน!I153"")+IMPORTRANGE(""https://docs.google.com/spreadsheets/d/1uu4nAn4Dbi1XREnLKKotUANlKXa7yCgRcgq8HEzQYW8/edit?usp=sharing"",""พะเยา!I153"")+IMPORTRANGE(""https://docs.google.com/spreadsheets/d/1xfJKIQxVOaPDIICqsflNlL"&amp;"u3JacTDk1FP9RH4phX7mI/edit?usp=sharing"",""พิจิตร!I153"")+IMPORTRANGE(""https://docs.google.com/spreadsheets/d/1JtRfZkJMHtEhI5RdRHxYUG4FIZHqKDpNyIuN7A1Q0_k/edit?usp=sharing"",""พิษณุโลก!I153"")+IMPORTRANGE(""https://docs.google.com/spreadsheets/d/1xlcVZWU"&amp;"Nn6SuWm0c307h32SiGkd9BaeQWlAktfD3KO8/edit?usp=sharing"",""เพชรบูรณ์!I153"")+IMPORTRANGE(""https://docs.google.com/spreadsheets/d/1lOVebEIsI9qjGXl6EX66luk7wiuP2tBaryw-wKvv4e0/edit?usp=sharing"",""แพร่!I153"")+IMPORTRANGE(""https://docs.google.com/spreadshe"&amp;"ets/d/1dQrvX0vEcN7Gu0fnZ0B5S90AeR19zth4XlExFBeExMY/edit?usp=sharing"",""แม่ฮ่องสอน!I153"")+IMPORTRANGE(""https://docs.google.com/spreadsheets/d/1DY4XTNNwjluuxqdfdn6qvOSlMRrZqUtmYcZR0ttFiG4/edit?usp=sharing"",""ลำปาง!I153"")+IMPORTRANGE(""https://docs.goog"&amp;"le.com/spreadsheets/d/1ICwG78r0OFT8biBlxnBF8r7she7gNSzOvJ958PWT09c/edit?usp=sharing"",""ลำพูน!I153"")+IMPORTRANGE(""https://docs.google.com/spreadsheets/d/1B0f2xJpZUC6Z0xXnqKlZtEPzsf6L84eP1r1Q15seqRM/edit?usp=sharing"",""สุโขทัย!I153"")+IMPORTRANGE(""http"&amp;"s://docs.google.com/spreadsheets/d/1v0b9pFQCsKUVExMei7AgY2yQkdeNQvtOssygGsXbiKo/edit?usp=sharing"",""อุตรดิตถ์!I153"")+IMPORTRANGE(""https://docs.google.com/spreadsheets/d/1UsNK1e-WWiCo2PvGqdNfdme4m17_Ezd3J69EeeiQPD0/edit?usp=sharing"",""อุทัยธานี!I153"")"),40)</f>
        <v>40</v>
      </c>
      <c r="J153" s="233">
        <f ca="1">IFERROR(__xludf.DUMMYFUNCTION("IMPORTRANGE(""https://docs.google.com/spreadsheets/d/1jTcq05yEiRwXcBMLjiodW9e4biSGYWAHcDj22rKWQ3s/edit?usp=sharing"",""กำแพงเพชร!J153"")+IMPORTRANGE(""https://docs.google.com/spreadsheets/d/1KS0zmDSZPk8KnTAbGN-Xk6MtX1YRZD0ldgdt20K4CRk/edit?usp=sharing"","&amp;"""เชียงราย!J153"")+IMPORTRANGE(""https://docs.google.com/spreadsheets/d/1rEDxBtusbi64tE0zunoIbsTVV16HeL0oJ6trHQeQ7K8/edit?usp=sharing"",""เชียงใหม่!J153"")+IMPORTRANGE(""https://docs.google.com/spreadsheets/d/1W6MnUbDkMi6xHnHko_XkFDO9kkuL6Wqyc-6OCDFjW9I/e"&amp;"dit?usp=sharing"",""ตาก!J153"")+IMPORTRANGE(""https://docs.google.com/spreadsheets/d/1IQAWArduLkta9LpYo4a_ULsyqdta6-6aDDiwpUnQT6c/edit?usp=sharing"",""นครสวรรค์!J153"")+IMPORTRANGE(""https://docs.google.com/spreadsheets/d/10s13Sk5xrltsiR-Zkbmk5DwIaDIKO8Xl"&amp;"bJAfqyT7Gvg/edit?usp=sharing"",""น่าน!J153"")+IMPORTRANGE(""https://docs.google.com/spreadsheets/d/1uu4nAn4Dbi1XREnLKKotUANlKXa7yCgRcgq8HEzQYW8/edit?usp=sharing"",""พะเยา!J153"")+IMPORTRANGE(""https://docs.google.com/spreadsheets/d/1xfJKIQxVOaPDIICqsflNlL"&amp;"u3JacTDk1FP9RH4phX7mI/edit?usp=sharing"",""พิจิตร!J153"")+IMPORTRANGE(""https://docs.google.com/spreadsheets/d/1JtRfZkJMHtEhI5RdRHxYUG4FIZHqKDpNyIuN7A1Q0_k/edit?usp=sharing"",""พิษณุโลก!J153"")+IMPORTRANGE(""https://docs.google.com/spreadsheets/d/1xlcVZWU"&amp;"Nn6SuWm0c307h32SiGkd9BaeQWlAktfD3KO8/edit?usp=sharing"",""เพชรบูรณ์!J153"")+IMPORTRANGE(""https://docs.google.com/spreadsheets/d/1lOVebEIsI9qjGXl6EX66luk7wiuP2tBaryw-wKvv4e0/edit?usp=sharing"",""แพร่!J153"")+IMPORTRANGE(""https://docs.google.com/spreadshe"&amp;"ets/d/1dQrvX0vEcN7Gu0fnZ0B5S90AeR19zth4XlExFBeExMY/edit?usp=sharing"",""แม่ฮ่องสอน!J153"")+IMPORTRANGE(""https://docs.google.com/spreadsheets/d/1DY4XTNNwjluuxqdfdn6qvOSlMRrZqUtmYcZR0ttFiG4/edit?usp=sharing"",""ลำปาง!J153"")+IMPORTRANGE(""https://docs.goog"&amp;"le.com/spreadsheets/d/1ICwG78r0OFT8biBlxnBF8r7she7gNSzOvJ958PWT09c/edit?usp=sharing"",""ลำพูน!J153"")+IMPORTRANGE(""https://docs.google.com/spreadsheets/d/1B0f2xJpZUC6Z0xXnqKlZtEPzsf6L84eP1r1Q15seqRM/edit?usp=sharing"",""สุโขทัย!J153"")+IMPORTRANGE(""http"&amp;"s://docs.google.com/spreadsheets/d/1v0b9pFQCsKUVExMei7AgY2yQkdeNQvtOssygGsXbiKo/edit?usp=sharing"",""อุตรดิตถ์!J153"")+IMPORTRANGE(""https://docs.google.com/spreadsheets/d/1UsNK1e-WWiCo2PvGqdNfdme4m17_Ezd3J69EeeiQPD0/edit?usp=sharing"",""อุทัยธานี!J153"")"),1)</f>
        <v>1</v>
      </c>
      <c r="K153" s="69">
        <f t="shared" ca="1" si="74"/>
        <v>2.5</v>
      </c>
      <c r="L153" s="68"/>
      <c r="M153" s="68"/>
      <c r="N153" s="68"/>
      <c r="O153" s="68"/>
      <c r="P153" s="68"/>
    </row>
    <row r="154" spans="1:16" ht="18.75" x14ac:dyDescent="0.25">
      <c r="A154" s="235"/>
      <c r="B154" s="236"/>
      <c r="C154" s="236"/>
      <c r="D154" s="237" t="s">
        <v>60</v>
      </c>
      <c r="E154" s="236"/>
      <c r="F154" s="236"/>
      <c r="G154" s="238"/>
      <c r="H154" s="239" t="s">
        <v>54</v>
      </c>
      <c r="I154" s="240">
        <f ca="1">IFERROR(__xludf.DUMMYFUNCTION("IMPORTRANGE(""https://docs.google.com/spreadsheets/d/1jTcq05yEiRwXcBMLjiodW9e4biSGYWAHcDj22rKWQ3s/edit?usp=sharing"",""กำแพงเพชร!I154"")+IMPORTRANGE(""https://docs.google.com/spreadsheets/d/1KS0zmDSZPk8KnTAbGN-Xk6MtX1YRZD0ldgdt20K4CRk/edit?usp=sharing"","&amp;"""เชียงราย!I154"")+IMPORTRANGE(""https://docs.google.com/spreadsheets/d/1rEDxBtusbi64tE0zunoIbsTVV16HeL0oJ6trHQeQ7K8/edit?usp=sharing"",""เชียงใหม่!I154"")+IMPORTRANGE(""https://docs.google.com/spreadsheets/d/1W6MnUbDkMi6xHnHko_XkFDO9kkuL6Wqyc-6OCDFjW9I/e"&amp;"dit?usp=sharing"",""ตาก!I154"")+IMPORTRANGE(""https://docs.google.com/spreadsheets/d/1IQAWArduLkta9LpYo4a_ULsyqdta6-6aDDiwpUnQT6c/edit?usp=sharing"",""นครสวรรค์!I154"")+IMPORTRANGE(""https://docs.google.com/spreadsheets/d/10s13Sk5xrltsiR-Zkbmk5DwIaDIKO8Xl"&amp;"bJAfqyT7Gvg/edit?usp=sharing"",""น่าน!I154"")+IMPORTRANGE(""https://docs.google.com/spreadsheets/d/1uu4nAn4Dbi1XREnLKKotUANlKXa7yCgRcgq8HEzQYW8/edit?usp=sharing"",""พะเยา!I154"")+IMPORTRANGE(""https://docs.google.com/spreadsheets/d/1xfJKIQxVOaPDIICqsflNlL"&amp;"u3JacTDk1FP9RH4phX7mI/edit?usp=sharing"",""พิจิตร!I154"")+IMPORTRANGE(""https://docs.google.com/spreadsheets/d/1JtRfZkJMHtEhI5RdRHxYUG4FIZHqKDpNyIuN7A1Q0_k/edit?usp=sharing"",""พิษณุโลก!I154"")+IMPORTRANGE(""https://docs.google.com/spreadsheets/d/1xlcVZWU"&amp;"Nn6SuWm0c307h32SiGkd9BaeQWlAktfD3KO8/edit?usp=sharing"",""เพชรบูรณ์!I154"")+IMPORTRANGE(""https://docs.google.com/spreadsheets/d/1lOVebEIsI9qjGXl6EX66luk7wiuP2tBaryw-wKvv4e0/edit?usp=sharing"",""แพร่!I154"")+IMPORTRANGE(""https://docs.google.com/spreadshe"&amp;"ets/d/1dQrvX0vEcN7Gu0fnZ0B5S90AeR19zth4XlExFBeExMY/edit?usp=sharing"",""แม่ฮ่องสอน!I154"")+IMPORTRANGE(""https://docs.google.com/spreadsheets/d/1DY4XTNNwjluuxqdfdn6qvOSlMRrZqUtmYcZR0ttFiG4/edit?usp=sharing"",""ลำปาง!I154"")+IMPORTRANGE(""https://docs.goog"&amp;"le.com/spreadsheets/d/1ICwG78r0OFT8biBlxnBF8r7she7gNSzOvJ958PWT09c/edit?usp=sharing"",""ลำพูน!I154"")+IMPORTRANGE(""https://docs.google.com/spreadsheets/d/1B0f2xJpZUC6Z0xXnqKlZtEPzsf6L84eP1r1Q15seqRM/edit?usp=sharing"",""สุโขทัย!I154"")+IMPORTRANGE(""http"&amp;"s://docs.google.com/spreadsheets/d/1v0b9pFQCsKUVExMei7AgY2yQkdeNQvtOssygGsXbiKo/edit?usp=sharing"",""อุตรดิตถ์!I154"")+IMPORTRANGE(""https://docs.google.com/spreadsheets/d/1UsNK1e-WWiCo2PvGqdNfdme4m17_Ezd3J69EeeiQPD0/edit?usp=sharing"",""อุทัยธานี!I154"")"),15)</f>
        <v>15</v>
      </c>
      <c r="J154" s="241">
        <f ca="1">IFERROR(__xludf.DUMMYFUNCTION("IMPORTRANGE(""https://docs.google.com/spreadsheets/d/1jTcq05yEiRwXcBMLjiodW9e4biSGYWAHcDj22rKWQ3s/edit?usp=sharing"",""กำแพงเพชร!J154"")+IMPORTRANGE(""https://docs.google.com/spreadsheets/d/1KS0zmDSZPk8KnTAbGN-Xk6MtX1YRZD0ldgdt20K4CRk/edit?usp=sharing"","&amp;"""เชียงราย!J154"")+IMPORTRANGE(""https://docs.google.com/spreadsheets/d/1rEDxBtusbi64tE0zunoIbsTVV16HeL0oJ6trHQeQ7K8/edit?usp=sharing"",""เชียงใหม่!J154"")+IMPORTRANGE(""https://docs.google.com/spreadsheets/d/1W6MnUbDkMi6xHnHko_XkFDO9kkuL6Wqyc-6OCDFjW9I/e"&amp;"dit?usp=sharing"",""ตาก!J154"")+IMPORTRANGE(""https://docs.google.com/spreadsheets/d/1IQAWArduLkta9LpYo4a_ULsyqdta6-6aDDiwpUnQT6c/edit?usp=sharing"",""นครสวรรค์!J154"")+IMPORTRANGE(""https://docs.google.com/spreadsheets/d/10s13Sk5xrltsiR-Zkbmk5DwIaDIKO8Xl"&amp;"bJAfqyT7Gvg/edit?usp=sharing"",""น่าน!J154"")+IMPORTRANGE(""https://docs.google.com/spreadsheets/d/1uu4nAn4Dbi1XREnLKKotUANlKXa7yCgRcgq8HEzQYW8/edit?usp=sharing"",""พะเยา!J154"")+IMPORTRANGE(""https://docs.google.com/spreadsheets/d/1xfJKIQxVOaPDIICqsflNlL"&amp;"u3JacTDk1FP9RH4phX7mI/edit?usp=sharing"",""พิจิตร!J154"")+IMPORTRANGE(""https://docs.google.com/spreadsheets/d/1JtRfZkJMHtEhI5RdRHxYUG4FIZHqKDpNyIuN7A1Q0_k/edit?usp=sharing"",""พิษณุโลก!J154"")+IMPORTRANGE(""https://docs.google.com/spreadsheets/d/1xlcVZWU"&amp;"Nn6SuWm0c307h32SiGkd9BaeQWlAktfD3KO8/edit?usp=sharing"",""เพชรบูรณ์!J154"")+IMPORTRANGE(""https://docs.google.com/spreadsheets/d/1lOVebEIsI9qjGXl6EX66luk7wiuP2tBaryw-wKvv4e0/edit?usp=sharing"",""แพร่!J154"")+IMPORTRANGE(""https://docs.google.com/spreadshe"&amp;"ets/d/1dQrvX0vEcN7Gu0fnZ0B5S90AeR19zth4XlExFBeExMY/edit?usp=sharing"",""แม่ฮ่องสอน!J154"")+IMPORTRANGE(""https://docs.google.com/spreadsheets/d/1DY4XTNNwjluuxqdfdn6qvOSlMRrZqUtmYcZR0ttFiG4/edit?usp=sharing"",""ลำปาง!J154"")+IMPORTRANGE(""https://docs.goog"&amp;"le.com/spreadsheets/d/1ICwG78r0OFT8biBlxnBF8r7she7gNSzOvJ958PWT09c/edit?usp=sharing"",""ลำพูน!J154"")+IMPORTRANGE(""https://docs.google.com/spreadsheets/d/1B0f2xJpZUC6Z0xXnqKlZtEPzsf6L84eP1r1Q15seqRM/edit?usp=sharing"",""สุโขทัย!J154"")+IMPORTRANGE(""http"&amp;"s://docs.google.com/spreadsheets/d/1v0b9pFQCsKUVExMei7AgY2yQkdeNQvtOssygGsXbiKo/edit?usp=sharing"",""อุตรดิตถ์!J154"")+IMPORTRANGE(""https://docs.google.com/spreadsheets/d/1UsNK1e-WWiCo2PvGqdNfdme4m17_Ezd3J69EeeiQPD0/edit?usp=sharing"",""อุทัยธานี!J154"")"),0)</f>
        <v>0</v>
      </c>
      <c r="K154" s="69">
        <f t="shared" ca="1" si="74"/>
        <v>0</v>
      </c>
      <c r="L154" s="242"/>
      <c r="M154" s="242"/>
      <c r="N154" s="242"/>
      <c r="O154" s="242"/>
      <c r="P154" s="242"/>
    </row>
    <row r="155" spans="1:16" ht="19.5" x14ac:dyDescent="0.3">
      <c r="A155" s="243" t="s">
        <v>61</v>
      </c>
      <c r="B155" s="244"/>
      <c r="C155" s="245"/>
      <c r="D155" s="244"/>
      <c r="E155" s="244"/>
      <c r="F155" s="244"/>
      <c r="G155" s="244"/>
      <c r="H155" s="244"/>
      <c r="I155" s="246"/>
      <c r="J155" s="246"/>
      <c r="K155" s="247"/>
      <c r="L155" s="248"/>
      <c r="M155" s="248"/>
      <c r="N155" s="248"/>
      <c r="O155" s="248"/>
      <c r="P155" s="248"/>
    </row>
    <row r="156" spans="1:16" ht="19.5" x14ac:dyDescent="0.3">
      <c r="A156" s="152"/>
      <c r="B156" s="153" t="s">
        <v>62</v>
      </c>
      <c r="C156" s="41"/>
      <c r="D156" s="41"/>
      <c r="E156" s="41"/>
      <c r="F156" s="41"/>
      <c r="G156" s="44"/>
      <c r="H156" s="249" t="s">
        <v>33</v>
      </c>
      <c r="I156" s="156">
        <f ca="1">I167</f>
        <v>115</v>
      </c>
      <c r="J156" s="156">
        <f>J168</f>
        <v>0</v>
      </c>
      <c r="K156" s="48">
        <f ca="1">IF(I156&gt;0,J156*100/I156,0)</f>
        <v>0</v>
      </c>
      <c r="L156" s="47"/>
      <c r="M156" s="47"/>
      <c r="N156" s="47"/>
      <c r="O156" s="47"/>
      <c r="P156" s="47"/>
    </row>
    <row r="157" spans="1:16" ht="19.5" x14ac:dyDescent="0.3">
      <c r="A157" s="157"/>
      <c r="B157" s="53"/>
      <c r="C157" s="158" t="s">
        <v>16</v>
      </c>
      <c r="D157" s="159" t="s">
        <v>17</v>
      </c>
      <c r="E157" s="53"/>
      <c r="F157" s="53"/>
      <c r="G157" s="55"/>
      <c r="H157" s="160" t="s">
        <v>12</v>
      </c>
      <c r="I157" s="57"/>
      <c r="J157" s="57"/>
      <c r="K157" s="58"/>
      <c r="L157" s="161">
        <f t="shared" ref="L157:N157" ca="1" si="75">L158+L159</f>
        <v>34500</v>
      </c>
      <c r="M157" s="161">
        <f t="shared" ca="1" si="75"/>
        <v>0</v>
      </c>
      <c r="N157" s="161">
        <f t="shared" ca="1" si="75"/>
        <v>0</v>
      </c>
      <c r="O157" s="161">
        <f t="shared" ref="O157:O165" ca="1" si="76">IF(L157&gt;0,N157*100/L157,0)</f>
        <v>0</v>
      </c>
      <c r="P157" s="161">
        <f t="shared" ref="P157:P165" ca="1" si="77">IF(M157&gt;0,N157*100/M157,0)</f>
        <v>0</v>
      </c>
    </row>
    <row r="158" spans="1:16" ht="18.75" x14ac:dyDescent="0.25">
      <c r="A158" s="157"/>
      <c r="B158" s="53"/>
      <c r="C158" s="53"/>
      <c r="D158" s="53"/>
      <c r="E158" s="60" t="s">
        <v>18</v>
      </c>
      <c r="F158" s="53"/>
      <c r="G158" s="55"/>
      <c r="H158" s="162" t="s">
        <v>12</v>
      </c>
      <c r="I158" s="57"/>
      <c r="J158" s="57"/>
      <c r="K158" s="58"/>
      <c r="L158" s="59">
        <f t="shared" ref="L158:N158" ca="1" si="78">L161+L164</f>
        <v>0</v>
      </c>
      <c r="M158" s="59">
        <f t="shared" ca="1" si="78"/>
        <v>0</v>
      </c>
      <c r="N158" s="59">
        <f t="shared" ca="1" si="78"/>
        <v>0</v>
      </c>
      <c r="O158" s="59">
        <f t="shared" ca="1" si="76"/>
        <v>0</v>
      </c>
      <c r="P158" s="59">
        <f t="shared" ca="1" si="77"/>
        <v>0</v>
      </c>
    </row>
    <row r="159" spans="1:16" ht="18.75" x14ac:dyDescent="0.25">
      <c r="A159" s="157"/>
      <c r="B159" s="53"/>
      <c r="C159" s="53"/>
      <c r="D159" s="53"/>
      <c r="E159" s="60" t="s">
        <v>19</v>
      </c>
      <c r="F159" s="53"/>
      <c r="G159" s="55"/>
      <c r="H159" s="162" t="s">
        <v>12</v>
      </c>
      <c r="I159" s="57"/>
      <c r="J159" s="57"/>
      <c r="K159" s="58"/>
      <c r="L159" s="59">
        <f t="shared" ref="L159:N159" ca="1" si="79">L162+L165</f>
        <v>34500</v>
      </c>
      <c r="M159" s="59">
        <f t="shared" ca="1" si="79"/>
        <v>0</v>
      </c>
      <c r="N159" s="59">
        <f t="shared" ca="1" si="79"/>
        <v>0</v>
      </c>
      <c r="O159" s="59">
        <f t="shared" ca="1" si="76"/>
        <v>0</v>
      </c>
      <c r="P159" s="59">
        <f t="shared" ca="1" si="77"/>
        <v>0</v>
      </c>
    </row>
    <row r="160" spans="1:16" ht="18.75" x14ac:dyDescent="0.25">
      <c r="A160" s="157"/>
      <c r="B160" s="53"/>
      <c r="C160" s="53"/>
      <c r="D160" s="54" t="s">
        <v>20</v>
      </c>
      <c r="E160" s="53"/>
      <c r="F160" s="53"/>
      <c r="G160" s="55"/>
      <c r="H160" s="163" t="s">
        <v>12</v>
      </c>
      <c r="I160" s="164"/>
      <c r="J160" s="164"/>
      <c r="K160" s="165"/>
      <c r="L160" s="59">
        <f t="shared" ref="L160:N160" ca="1" si="80">L161+L162</f>
        <v>34500</v>
      </c>
      <c r="M160" s="59">
        <f t="shared" ca="1" si="80"/>
        <v>0</v>
      </c>
      <c r="N160" s="59">
        <f t="shared" ca="1" si="80"/>
        <v>0</v>
      </c>
      <c r="O160" s="59">
        <f t="shared" ca="1" si="76"/>
        <v>0</v>
      </c>
      <c r="P160" s="59">
        <f t="shared" ca="1" si="77"/>
        <v>0</v>
      </c>
    </row>
    <row r="161" spans="1:16" ht="18.75" x14ac:dyDescent="0.25">
      <c r="A161" s="157"/>
      <c r="B161" s="53"/>
      <c r="C161" s="53"/>
      <c r="D161" s="53"/>
      <c r="E161" s="60" t="s">
        <v>34</v>
      </c>
      <c r="F161" s="53"/>
      <c r="G161" s="55"/>
      <c r="H161" s="163" t="s">
        <v>12</v>
      </c>
      <c r="I161" s="164"/>
      <c r="J161" s="164"/>
      <c r="K161" s="165"/>
      <c r="L161" s="59">
        <f ca="1">IFERROR(__xludf.DUMMYFUNCTION("IMPORTRANGE(""https://docs.google.com/spreadsheets/d/1jTcq05yEiRwXcBMLjiodW9e4biSGYWAHcDj22rKWQ3s/edit?usp=sharing"",""กำแพงเพชร!L161"")+IMPORTRANGE(""https://docs.google.com/spreadsheets/d/1KS0zmDSZPk8KnTAbGN-Xk6MtX1YRZD0ldgdt20K4CRk/edit?usp=sharing"","&amp;"""เชียงราย!L161"")+IMPORTRANGE(""https://docs.google.com/spreadsheets/d/1rEDxBtusbi64tE0zunoIbsTVV16HeL0oJ6trHQeQ7K8/edit?usp=sharing"",""เชียงใหม่!L161"")+IMPORTRANGE(""https://docs.google.com/spreadsheets/d/1W6MnUbDkMi6xHnHko_XkFDO9kkuL6Wqyc-6OCDFjW9I/e"&amp;"dit?usp=sharing"",""ตาก!L161"")+IMPORTRANGE(""https://docs.google.com/spreadsheets/d/1IQAWArduLkta9LpYo4a_ULsyqdta6-6aDDiwpUnQT6c/edit?usp=sharing"",""นครสวรรค์!L161"")+IMPORTRANGE(""https://docs.google.com/spreadsheets/d/10s13Sk5xrltsiR-Zkbmk5DwIaDIKO8Xl"&amp;"bJAfqyT7Gvg/edit?usp=sharing"",""น่าน!L161"")+IMPORTRANGE(""https://docs.google.com/spreadsheets/d/1uu4nAn4Dbi1XREnLKKotUANlKXa7yCgRcgq8HEzQYW8/edit?usp=sharing"",""พะเยา!L161"")+IMPORTRANGE(""https://docs.google.com/spreadsheets/d/1xfJKIQxVOaPDIICqsflNlL"&amp;"u3JacTDk1FP9RH4phX7mI/edit?usp=sharing"",""พิจิตร!L161"")+IMPORTRANGE(""https://docs.google.com/spreadsheets/d/1JtRfZkJMHtEhI5RdRHxYUG4FIZHqKDpNyIuN7A1Q0_k/edit?usp=sharing"",""พิษณุโลก!L161"")+IMPORTRANGE(""https://docs.google.com/spreadsheets/d/1xlcVZWU"&amp;"Nn6SuWm0c307h32SiGkd9BaeQWlAktfD3KO8/edit?usp=sharing"",""เพชรบูรณ์!L161"")+IMPORTRANGE(""https://docs.google.com/spreadsheets/d/1lOVebEIsI9qjGXl6EX66luk7wiuP2tBaryw-wKvv4e0/edit?usp=sharing"",""แพร่!L161"")+IMPORTRANGE(""https://docs.google.com/spreadshe"&amp;"ets/d/1dQrvX0vEcN7Gu0fnZ0B5S90AeR19zth4XlExFBeExMY/edit?usp=sharing"",""แม่ฮ่องสอน!L161"")+IMPORTRANGE(""https://docs.google.com/spreadsheets/d/1DY4XTNNwjluuxqdfdn6qvOSlMRrZqUtmYcZR0ttFiG4/edit?usp=sharing"",""ลำปาง!L161"")+IMPORTRANGE(""https://docs.goog"&amp;"le.com/spreadsheets/d/1ICwG78r0OFT8biBlxnBF8r7she7gNSzOvJ958PWT09c/edit?usp=sharing"",""ลำพูน!L161"")+IMPORTRANGE(""https://docs.google.com/spreadsheets/d/1B0f2xJpZUC6Z0xXnqKlZtEPzsf6L84eP1r1Q15seqRM/edit?usp=sharing"",""สุโขทัย!L161"")+IMPORTRANGE(""http"&amp;"s://docs.google.com/spreadsheets/d/1v0b9pFQCsKUVExMei7AgY2yQkdeNQvtOssygGsXbiKo/edit?usp=sharing"",""อุตรดิตถ์!L161"")+IMPORTRANGE(""https://docs.google.com/spreadsheets/d/1UsNK1e-WWiCo2PvGqdNfdme4m17_Ezd3J69EeeiQPD0/edit?usp=sharing"",""อุทัยธานี!L161"")"),0)</f>
        <v>0</v>
      </c>
      <c r="M161" s="59">
        <f ca="1">IFERROR(__xludf.DUMMYFUNCTION("IMPORTRANGE(""https://docs.google.com/spreadsheets/d/1jTcq05yEiRwXcBMLjiodW9e4biSGYWAHcDj22rKWQ3s/edit?usp=sharing"",""กำแพงเพชร!M161"")+IMPORTRANGE(""https://docs.google.com/spreadsheets/d/1KS0zmDSZPk8KnTAbGN-Xk6MtX1YRZD0ldgdt20K4CRk/edit?usp=sharing"","&amp;"""เชียงราย!M161"")+IMPORTRANGE(""https://docs.google.com/spreadsheets/d/1rEDxBtusbi64tE0zunoIbsTVV16HeL0oJ6trHQeQ7K8/edit?usp=sharing"",""เชียงใหม่!M161"")+IMPORTRANGE(""https://docs.google.com/spreadsheets/d/1W6MnUbDkMi6xHnHko_XkFDO9kkuL6Wqyc-6OCDFjW9I/e"&amp;"dit?usp=sharing"",""ตาก!M161"")+IMPORTRANGE(""https://docs.google.com/spreadsheets/d/1IQAWArduLkta9LpYo4a_ULsyqdta6-6aDDiwpUnQT6c/edit?usp=sharing"",""นครสวรรค์!M161"")+IMPORTRANGE(""https://docs.google.com/spreadsheets/d/10s13Sk5xrltsiR-Zkbmk5DwIaDIKO8Xl"&amp;"bJAfqyT7Gvg/edit?usp=sharing"",""น่าน!M161"")+IMPORTRANGE(""https://docs.google.com/spreadsheets/d/1uu4nAn4Dbi1XREnLKKotUANlKXa7yCgRcgq8HEzQYW8/edit?usp=sharing"",""พะเยา!M161"")+IMPORTRANGE(""https://docs.google.com/spreadsheets/d/1xfJKIQxVOaPDIICqsflNlL"&amp;"u3JacTDk1FP9RH4phX7mI/edit?usp=sharing"",""พิจิตร!M161"")+IMPORTRANGE(""https://docs.google.com/spreadsheets/d/1JtRfZkJMHtEhI5RdRHxYUG4FIZHqKDpNyIuN7A1Q0_k/edit?usp=sharing"",""พิษณุโลก!M161"")+IMPORTRANGE(""https://docs.google.com/spreadsheets/d/1xlcVZWU"&amp;"Nn6SuWm0c307h32SiGkd9BaeQWlAktfD3KO8/edit?usp=sharing"",""เพชรบูรณ์!M161"")+IMPORTRANGE(""https://docs.google.com/spreadsheets/d/1lOVebEIsI9qjGXl6EX66luk7wiuP2tBaryw-wKvv4e0/edit?usp=sharing"",""แพร่!M161"")+IMPORTRANGE(""https://docs.google.com/spreadshe"&amp;"ets/d/1dQrvX0vEcN7Gu0fnZ0B5S90AeR19zth4XlExFBeExMY/edit?usp=sharing"",""แม่ฮ่องสอน!M161"")+IMPORTRANGE(""https://docs.google.com/spreadsheets/d/1DY4XTNNwjluuxqdfdn6qvOSlMRrZqUtmYcZR0ttFiG4/edit?usp=sharing"",""ลำปาง!M161"")+IMPORTRANGE(""https://docs.goog"&amp;"le.com/spreadsheets/d/1ICwG78r0OFT8biBlxnBF8r7she7gNSzOvJ958PWT09c/edit?usp=sharing"",""ลำพูน!M161"")+IMPORTRANGE(""https://docs.google.com/spreadsheets/d/1B0f2xJpZUC6Z0xXnqKlZtEPzsf6L84eP1r1Q15seqRM/edit?usp=sharing"",""สุโขทัย!M161"")+IMPORTRANGE(""http"&amp;"s://docs.google.com/spreadsheets/d/1v0b9pFQCsKUVExMei7AgY2yQkdeNQvtOssygGsXbiKo/edit?usp=sharing"",""อุตรดิตถ์!M161"")+IMPORTRANGE(""https://docs.google.com/spreadsheets/d/1UsNK1e-WWiCo2PvGqdNfdme4m17_Ezd3J69EeeiQPD0/edit?usp=sharing"",""อุทัยธานี!M161"")"),0)</f>
        <v>0</v>
      </c>
      <c r="N161" s="59">
        <f ca="1">IFERROR(__xludf.DUMMYFUNCTION("IMPORTRANGE(""https://docs.google.com/spreadsheets/d/1jTcq05yEiRwXcBMLjiodW9e4biSGYWAHcDj22rKWQ3s/edit?usp=sharing"",""กำแพงเพชร!N161"")+IMPORTRANGE(""https://docs.google.com/spreadsheets/d/1KS0zmDSZPk8KnTAbGN-Xk6MtX1YRZD0ldgdt20K4CRk/edit?usp=sharing"","&amp;"""เชียงราย!N161"")+IMPORTRANGE(""https://docs.google.com/spreadsheets/d/1rEDxBtusbi64tE0zunoIbsTVV16HeL0oJ6trHQeQ7K8/edit?usp=sharing"",""เชียงใหม่!N161"")+IMPORTRANGE(""https://docs.google.com/spreadsheets/d/1W6MnUbDkMi6xHnHko_XkFDO9kkuL6Wqyc-6OCDFjW9I/e"&amp;"dit?usp=sharing"",""ตาก!N161"")+IMPORTRANGE(""https://docs.google.com/spreadsheets/d/1IQAWArduLkta9LpYo4a_ULsyqdta6-6aDDiwpUnQT6c/edit?usp=sharing"",""นครสวรรค์!N161"")+IMPORTRANGE(""https://docs.google.com/spreadsheets/d/10s13Sk5xrltsiR-Zkbmk5DwIaDIKO8Xl"&amp;"bJAfqyT7Gvg/edit?usp=sharing"",""น่าน!N161"")+IMPORTRANGE(""https://docs.google.com/spreadsheets/d/1uu4nAn4Dbi1XREnLKKotUANlKXa7yCgRcgq8HEzQYW8/edit?usp=sharing"",""พะเยา!N161"")+IMPORTRANGE(""https://docs.google.com/spreadsheets/d/1xfJKIQxVOaPDIICqsflNlL"&amp;"u3JacTDk1FP9RH4phX7mI/edit?usp=sharing"",""พิจิตร!N161"")+IMPORTRANGE(""https://docs.google.com/spreadsheets/d/1JtRfZkJMHtEhI5RdRHxYUG4FIZHqKDpNyIuN7A1Q0_k/edit?usp=sharing"",""พิษณุโลก!N161"")+IMPORTRANGE(""https://docs.google.com/spreadsheets/d/1xlcVZWU"&amp;"Nn6SuWm0c307h32SiGkd9BaeQWlAktfD3KO8/edit?usp=sharing"",""เพชรบูรณ์!N161"")+IMPORTRANGE(""https://docs.google.com/spreadsheets/d/1lOVebEIsI9qjGXl6EX66luk7wiuP2tBaryw-wKvv4e0/edit?usp=sharing"",""แพร่!N161"")+IMPORTRANGE(""https://docs.google.com/spreadshe"&amp;"ets/d/1dQrvX0vEcN7Gu0fnZ0B5S90AeR19zth4XlExFBeExMY/edit?usp=sharing"",""แม่ฮ่องสอน!N161"")+IMPORTRANGE(""https://docs.google.com/spreadsheets/d/1DY4XTNNwjluuxqdfdn6qvOSlMRrZqUtmYcZR0ttFiG4/edit?usp=sharing"",""ลำปาง!N161"")+IMPORTRANGE(""https://docs.goog"&amp;"le.com/spreadsheets/d/1ICwG78r0OFT8biBlxnBF8r7she7gNSzOvJ958PWT09c/edit?usp=sharing"",""ลำพูน!N161"")+IMPORTRANGE(""https://docs.google.com/spreadsheets/d/1B0f2xJpZUC6Z0xXnqKlZtEPzsf6L84eP1r1Q15seqRM/edit?usp=sharing"",""สุโขทัย!N161"")+IMPORTRANGE(""http"&amp;"s://docs.google.com/spreadsheets/d/1v0b9pFQCsKUVExMei7AgY2yQkdeNQvtOssygGsXbiKo/edit?usp=sharing"",""อุตรดิตถ์!N161"")+IMPORTRANGE(""https://docs.google.com/spreadsheets/d/1UsNK1e-WWiCo2PvGqdNfdme4m17_Ezd3J69EeeiQPD0/edit?usp=sharing"",""อุทัยธานี!N161"")"),0)</f>
        <v>0</v>
      </c>
      <c r="O161" s="59">
        <f t="shared" ca="1" si="76"/>
        <v>0</v>
      </c>
      <c r="P161" s="59">
        <f t="shared" ca="1" si="77"/>
        <v>0</v>
      </c>
    </row>
    <row r="162" spans="1:16" ht="18.75" x14ac:dyDescent="0.25">
      <c r="A162" s="157"/>
      <c r="B162" s="53"/>
      <c r="C162" s="53"/>
      <c r="D162" s="53"/>
      <c r="E162" s="60" t="s">
        <v>35</v>
      </c>
      <c r="F162" s="53"/>
      <c r="G162" s="55"/>
      <c r="H162" s="163" t="s">
        <v>12</v>
      </c>
      <c r="I162" s="164"/>
      <c r="J162" s="164"/>
      <c r="K162" s="165"/>
      <c r="L162" s="59">
        <f ca="1">IFERROR(__xludf.DUMMYFUNCTION("IMPORTRANGE(""https://docs.google.com/spreadsheets/d/1jTcq05yEiRwXcBMLjiodW9e4biSGYWAHcDj22rKWQ3s/edit?usp=sharing"",""กำแพงเพชร!L162"")+IMPORTRANGE(""https://docs.google.com/spreadsheets/d/1KS0zmDSZPk8KnTAbGN-Xk6MtX1YRZD0ldgdt20K4CRk/edit?usp=sharing"","&amp;"""เชียงราย!L162"")+IMPORTRANGE(""https://docs.google.com/spreadsheets/d/1rEDxBtusbi64tE0zunoIbsTVV16HeL0oJ6trHQeQ7K8/edit?usp=sharing"",""เชียงใหม่!L162"")+IMPORTRANGE(""https://docs.google.com/spreadsheets/d/1W6MnUbDkMi6xHnHko_XkFDO9kkuL6Wqyc-6OCDFjW9I/e"&amp;"dit?usp=sharing"",""ตาก!L162"")+IMPORTRANGE(""https://docs.google.com/spreadsheets/d/1IQAWArduLkta9LpYo4a_ULsyqdta6-6aDDiwpUnQT6c/edit?usp=sharing"",""นครสวรรค์!L162"")+IMPORTRANGE(""https://docs.google.com/spreadsheets/d/10s13Sk5xrltsiR-Zkbmk5DwIaDIKO8Xl"&amp;"bJAfqyT7Gvg/edit?usp=sharing"",""น่าน!L162"")+IMPORTRANGE(""https://docs.google.com/spreadsheets/d/1uu4nAn4Dbi1XREnLKKotUANlKXa7yCgRcgq8HEzQYW8/edit?usp=sharing"",""พะเยา!L162"")+IMPORTRANGE(""https://docs.google.com/spreadsheets/d/1xfJKIQxVOaPDIICqsflNlL"&amp;"u3JacTDk1FP9RH4phX7mI/edit?usp=sharing"",""พิจิตร!L162"")+IMPORTRANGE(""https://docs.google.com/spreadsheets/d/1JtRfZkJMHtEhI5RdRHxYUG4FIZHqKDpNyIuN7A1Q0_k/edit?usp=sharing"",""พิษณุโลก!L162"")+IMPORTRANGE(""https://docs.google.com/spreadsheets/d/1xlcVZWU"&amp;"Nn6SuWm0c307h32SiGkd9BaeQWlAktfD3KO8/edit?usp=sharing"",""เพชรบูรณ์!L162"")+IMPORTRANGE(""https://docs.google.com/spreadsheets/d/1lOVebEIsI9qjGXl6EX66luk7wiuP2tBaryw-wKvv4e0/edit?usp=sharing"",""แพร่!L162"")+IMPORTRANGE(""https://docs.google.com/spreadshe"&amp;"ets/d/1dQrvX0vEcN7Gu0fnZ0B5S90AeR19zth4XlExFBeExMY/edit?usp=sharing"",""แม่ฮ่องสอน!L162"")+IMPORTRANGE(""https://docs.google.com/spreadsheets/d/1DY4XTNNwjluuxqdfdn6qvOSlMRrZqUtmYcZR0ttFiG4/edit?usp=sharing"",""ลำปาง!L162"")+IMPORTRANGE(""https://docs.goog"&amp;"le.com/spreadsheets/d/1ICwG78r0OFT8biBlxnBF8r7she7gNSzOvJ958PWT09c/edit?usp=sharing"",""ลำพูน!L162"")+IMPORTRANGE(""https://docs.google.com/spreadsheets/d/1B0f2xJpZUC6Z0xXnqKlZtEPzsf6L84eP1r1Q15seqRM/edit?usp=sharing"",""สุโขทัย!L162"")+IMPORTRANGE(""http"&amp;"s://docs.google.com/spreadsheets/d/1v0b9pFQCsKUVExMei7AgY2yQkdeNQvtOssygGsXbiKo/edit?usp=sharing"",""อุตรดิตถ์!L162"")+IMPORTRANGE(""https://docs.google.com/spreadsheets/d/1UsNK1e-WWiCo2PvGqdNfdme4m17_Ezd3J69EeeiQPD0/edit?usp=sharing"",""อุทัยธานี!L162"")"),34500)</f>
        <v>34500</v>
      </c>
      <c r="M162" s="59">
        <f ca="1">IFERROR(__xludf.DUMMYFUNCTION("IMPORTRANGE(""https://docs.google.com/spreadsheets/d/1jTcq05yEiRwXcBMLjiodW9e4biSGYWAHcDj22rKWQ3s/edit?usp=sharing"",""กำแพงเพชร!M162"")+IMPORTRANGE(""https://docs.google.com/spreadsheets/d/1KS0zmDSZPk8KnTAbGN-Xk6MtX1YRZD0ldgdt20K4CRk/edit?usp=sharing"","&amp;"""เชียงราย!M162"")+IMPORTRANGE(""https://docs.google.com/spreadsheets/d/1rEDxBtusbi64tE0zunoIbsTVV16HeL0oJ6trHQeQ7K8/edit?usp=sharing"",""เชียงใหม่!M162"")+IMPORTRANGE(""https://docs.google.com/spreadsheets/d/1W6MnUbDkMi6xHnHko_XkFDO9kkuL6Wqyc-6OCDFjW9I/e"&amp;"dit?usp=sharing"",""ตาก!M162"")+IMPORTRANGE(""https://docs.google.com/spreadsheets/d/1IQAWArduLkta9LpYo4a_ULsyqdta6-6aDDiwpUnQT6c/edit?usp=sharing"",""นครสวรรค์!M162"")+IMPORTRANGE(""https://docs.google.com/spreadsheets/d/10s13Sk5xrltsiR-Zkbmk5DwIaDIKO8Xl"&amp;"bJAfqyT7Gvg/edit?usp=sharing"",""น่าน!M162"")+IMPORTRANGE(""https://docs.google.com/spreadsheets/d/1uu4nAn4Dbi1XREnLKKotUANlKXa7yCgRcgq8HEzQYW8/edit?usp=sharing"",""พะเยา!M162"")+IMPORTRANGE(""https://docs.google.com/spreadsheets/d/1xfJKIQxVOaPDIICqsflNlL"&amp;"u3JacTDk1FP9RH4phX7mI/edit?usp=sharing"",""พิจิตร!M162"")+IMPORTRANGE(""https://docs.google.com/spreadsheets/d/1JtRfZkJMHtEhI5RdRHxYUG4FIZHqKDpNyIuN7A1Q0_k/edit?usp=sharing"",""พิษณุโลก!M162"")+IMPORTRANGE(""https://docs.google.com/spreadsheets/d/1xlcVZWU"&amp;"Nn6SuWm0c307h32SiGkd9BaeQWlAktfD3KO8/edit?usp=sharing"",""เพชรบูรณ์!M162"")+IMPORTRANGE(""https://docs.google.com/spreadsheets/d/1lOVebEIsI9qjGXl6EX66luk7wiuP2tBaryw-wKvv4e0/edit?usp=sharing"",""แพร่!M162"")+IMPORTRANGE(""https://docs.google.com/spreadshe"&amp;"ets/d/1dQrvX0vEcN7Gu0fnZ0B5S90AeR19zth4XlExFBeExMY/edit?usp=sharing"",""แม่ฮ่องสอน!M162"")+IMPORTRANGE(""https://docs.google.com/spreadsheets/d/1DY4XTNNwjluuxqdfdn6qvOSlMRrZqUtmYcZR0ttFiG4/edit?usp=sharing"",""ลำปาง!M162"")+IMPORTRANGE(""https://docs.goog"&amp;"le.com/spreadsheets/d/1ICwG78r0OFT8biBlxnBF8r7she7gNSzOvJ958PWT09c/edit?usp=sharing"",""ลำพูน!M162"")+IMPORTRANGE(""https://docs.google.com/spreadsheets/d/1B0f2xJpZUC6Z0xXnqKlZtEPzsf6L84eP1r1Q15seqRM/edit?usp=sharing"",""สุโขทัย!M162"")+IMPORTRANGE(""http"&amp;"s://docs.google.com/spreadsheets/d/1v0b9pFQCsKUVExMei7AgY2yQkdeNQvtOssygGsXbiKo/edit?usp=sharing"",""อุตรดิตถ์!M162"")+IMPORTRANGE(""https://docs.google.com/spreadsheets/d/1UsNK1e-WWiCo2PvGqdNfdme4m17_Ezd3J69EeeiQPD0/edit?usp=sharing"",""อุทัยธานี!M162"")"),0)</f>
        <v>0</v>
      </c>
      <c r="N162" s="59">
        <f ca="1">IFERROR(__xludf.DUMMYFUNCTION("IMPORTRANGE(""https://docs.google.com/spreadsheets/d/1jTcq05yEiRwXcBMLjiodW9e4biSGYWAHcDj22rKWQ3s/edit?usp=sharing"",""กำแพงเพชร!N162"")+IMPORTRANGE(""https://docs.google.com/spreadsheets/d/1KS0zmDSZPk8KnTAbGN-Xk6MtX1YRZD0ldgdt20K4CRk/edit?usp=sharing"","&amp;"""เชียงราย!N162"")+IMPORTRANGE(""https://docs.google.com/spreadsheets/d/1rEDxBtusbi64tE0zunoIbsTVV16HeL0oJ6trHQeQ7K8/edit?usp=sharing"",""เชียงใหม่!N162"")+IMPORTRANGE(""https://docs.google.com/spreadsheets/d/1W6MnUbDkMi6xHnHko_XkFDO9kkuL6Wqyc-6OCDFjW9I/e"&amp;"dit?usp=sharing"",""ตาก!N162"")+IMPORTRANGE(""https://docs.google.com/spreadsheets/d/1IQAWArduLkta9LpYo4a_ULsyqdta6-6aDDiwpUnQT6c/edit?usp=sharing"",""นครสวรรค์!N162"")+IMPORTRANGE(""https://docs.google.com/spreadsheets/d/10s13Sk5xrltsiR-Zkbmk5DwIaDIKO8Xl"&amp;"bJAfqyT7Gvg/edit?usp=sharing"",""น่าน!N162"")+IMPORTRANGE(""https://docs.google.com/spreadsheets/d/1uu4nAn4Dbi1XREnLKKotUANlKXa7yCgRcgq8HEzQYW8/edit?usp=sharing"",""พะเยา!N162"")+IMPORTRANGE(""https://docs.google.com/spreadsheets/d/1xfJKIQxVOaPDIICqsflNlL"&amp;"u3JacTDk1FP9RH4phX7mI/edit?usp=sharing"",""พิจิตร!N162"")+IMPORTRANGE(""https://docs.google.com/spreadsheets/d/1JtRfZkJMHtEhI5RdRHxYUG4FIZHqKDpNyIuN7A1Q0_k/edit?usp=sharing"",""พิษณุโลก!N162"")+IMPORTRANGE(""https://docs.google.com/spreadsheets/d/1xlcVZWU"&amp;"Nn6SuWm0c307h32SiGkd9BaeQWlAktfD3KO8/edit?usp=sharing"",""เพชรบูรณ์!N162"")+IMPORTRANGE(""https://docs.google.com/spreadsheets/d/1lOVebEIsI9qjGXl6EX66luk7wiuP2tBaryw-wKvv4e0/edit?usp=sharing"",""แพร่!N162"")+IMPORTRANGE(""https://docs.google.com/spreadshe"&amp;"ets/d/1dQrvX0vEcN7Gu0fnZ0B5S90AeR19zth4XlExFBeExMY/edit?usp=sharing"",""แม่ฮ่องสอน!N162"")+IMPORTRANGE(""https://docs.google.com/spreadsheets/d/1DY4XTNNwjluuxqdfdn6qvOSlMRrZqUtmYcZR0ttFiG4/edit?usp=sharing"",""ลำปาง!N162"")+IMPORTRANGE(""https://docs.goog"&amp;"le.com/spreadsheets/d/1ICwG78r0OFT8biBlxnBF8r7she7gNSzOvJ958PWT09c/edit?usp=sharing"",""ลำพูน!N162"")+IMPORTRANGE(""https://docs.google.com/spreadsheets/d/1B0f2xJpZUC6Z0xXnqKlZtEPzsf6L84eP1r1Q15seqRM/edit?usp=sharing"",""สุโขทัย!N162"")+IMPORTRANGE(""http"&amp;"s://docs.google.com/spreadsheets/d/1v0b9pFQCsKUVExMei7AgY2yQkdeNQvtOssygGsXbiKo/edit?usp=sharing"",""อุตรดิตถ์!N162"")+IMPORTRANGE(""https://docs.google.com/spreadsheets/d/1UsNK1e-WWiCo2PvGqdNfdme4m17_Ezd3J69EeeiQPD0/edit?usp=sharing"",""อุทัยธานี!N162"")"),0)</f>
        <v>0</v>
      </c>
      <c r="O162" s="59">
        <f t="shared" ca="1" si="76"/>
        <v>0</v>
      </c>
      <c r="P162" s="59">
        <f t="shared" ca="1" si="77"/>
        <v>0</v>
      </c>
    </row>
    <row r="163" spans="1:16" ht="18.75" x14ac:dyDescent="0.25">
      <c r="A163" s="157"/>
      <c r="B163" s="53"/>
      <c r="C163" s="53"/>
      <c r="D163" s="54" t="s">
        <v>21</v>
      </c>
      <c r="E163" s="53"/>
      <c r="F163" s="53"/>
      <c r="G163" s="55"/>
      <c r="H163" s="166" t="s">
        <v>12</v>
      </c>
      <c r="I163" s="164"/>
      <c r="J163" s="164"/>
      <c r="K163" s="165"/>
      <c r="L163" s="59">
        <f t="shared" ref="L163:N163" ca="1" si="81">L164+L165</f>
        <v>0</v>
      </c>
      <c r="M163" s="59">
        <f t="shared" ca="1" si="81"/>
        <v>0</v>
      </c>
      <c r="N163" s="59">
        <f t="shared" ca="1" si="81"/>
        <v>0</v>
      </c>
      <c r="O163" s="59">
        <f t="shared" ca="1" si="76"/>
        <v>0</v>
      </c>
      <c r="P163" s="59">
        <f t="shared" ca="1" si="77"/>
        <v>0</v>
      </c>
    </row>
    <row r="164" spans="1:16" ht="18.75" x14ac:dyDescent="0.25">
      <c r="A164" s="157"/>
      <c r="B164" s="53"/>
      <c r="C164" s="53"/>
      <c r="D164" s="53"/>
      <c r="E164" s="60" t="s">
        <v>18</v>
      </c>
      <c r="F164" s="53"/>
      <c r="G164" s="55"/>
      <c r="H164" s="163" t="s">
        <v>12</v>
      </c>
      <c r="I164" s="164"/>
      <c r="J164" s="164"/>
      <c r="K164" s="165"/>
      <c r="L164" s="59">
        <f ca="1">IFERROR(__xludf.DUMMYFUNCTION("IMPORTRANGE(""https://docs.google.com/spreadsheets/d/1jTcq05yEiRwXcBMLjiodW9e4biSGYWAHcDj22rKWQ3s/edit?usp=sharing"",""กำแพงเพชร!L164"")+IMPORTRANGE(""https://docs.google.com/spreadsheets/d/1KS0zmDSZPk8KnTAbGN-Xk6MtX1YRZD0ldgdt20K4CRk/edit?usp=sharing"","&amp;"""เชียงราย!L164"")+IMPORTRANGE(""https://docs.google.com/spreadsheets/d/1rEDxBtusbi64tE0zunoIbsTVV16HeL0oJ6trHQeQ7K8/edit?usp=sharing"",""เชียงใหม่!L164"")+IMPORTRANGE(""https://docs.google.com/spreadsheets/d/1W6MnUbDkMi6xHnHko_XkFDO9kkuL6Wqyc-6OCDFjW9I/e"&amp;"dit?usp=sharing"",""ตาก!L164"")+IMPORTRANGE(""https://docs.google.com/spreadsheets/d/1IQAWArduLkta9LpYo4a_ULsyqdta6-6aDDiwpUnQT6c/edit?usp=sharing"",""นครสวรรค์!L164"")+IMPORTRANGE(""https://docs.google.com/spreadsheets/d/10s13Sk5xrltsiR-Zkbmk5DwIaDIKO8Xl"&amp;"bJAfqyT7Gvg/edit?usp=sharing"",""น่าน!L164"")+IMPORTRANGE(""https://docs.google.com/spreadsheets/d/1uu4nAn4Dbi1XREnLKKotUANlKXa7yCgRcgq8HEzQYW8/edit?usp=sharing"",""พะเยา!L164"")+IMPORTRANGE(""https://docs.google.com/spreadsheets/d/1xfJKIQxVOaPDIICqsflNlL"&amp;"u3JacTDk1FP9RH4phX7mI/edit?usp=sharing"",""พิจิตร!L164"")+IMPORTRANGE(""https://docs.google.com/spreadsheets/d/1JtRfZkJMHtEhI5RdRHxYUG4FIZHqKDpNyIuN7A1Q0_k/edit?usp=sharing"",""พิษณุโลก!L164"")+IMPORTRANGE(""https://docs.google.com/spreadsheets/d/1xlcVZWU"&amp;"Nn6SuWm0c307h32SiGkd9BaeQWlAktfD3KO8/edit?usp=sharing"",""เพชรบูรณ์!L164"")+IMPORTRANGE(""https://docs.google.com/spreadsheets/d/1lOVebEIsI9qjGXl6EX66luk7wiuP2tBaryw-wKvv4e0/edit?usp=sharing"",""แพร่!L164"")+IMPORTRANGE(""https://docs.google.com/spreadshe"&amp;"ets/d/1dQrvX0vEcN7Gu0fnZ0B5S90AeR19zth4XlExFBeExMY/edit?usp=sharing"",""แม่ฮ่องสอน!L164"")+IMPORTRANGE(""https://docs.google.com/spreadsheets/d/1DY4XTNNwjluuxqdfdn6qvOSlMRrZqUtmYcZR0ttFiG4/edit?usp=sharing"",""ลำปาง!L164"")+IMPORTRANGE(""https://docs.goog"&amp;"le.com/spreadsheets/d/1ICwG78r0OFT8biBlxnBF8r7she7gNSzOvJ958PWT09c/edit?usp=sharing"",""ลำพูน!L164"")+IMPORTRANGE(""https://docs.google.com/spreadsheets/d/1B0f2xJpZUC6Z0xXnqKlZtEPzsf6L84eP1r1Q15seqRM/edit?usp=sharing"",""สุโขทัย!L164"")+IMPORTRANGE(""http"&amp;"s://docs.google.com/spreadsheets/d/1v0b9pFQCsKUVExMei7AgY2yQkdeNQvtOssygGsXbiKo/edit?usp=sharing"",""อุตรดิตถ์!L164"")+IMPORTRANGE(""https://docs.google.com/spreadsheets/d/1UsNK1e-WWiCo2PvGqdNfdme4m17_Ezd3J69EeeiQPD0/edit?usp=sharing"",""อุทัยธานี!L164"")"),0)</f>
        <v>0</v>
      </c>
      <c r="M164" s="59">
        <f ca="1">IFERROR(__xludf.DUMMYFUNCTION("IMPORTRANGE(""https://docs.google.com/spreadsheets/d/1jTcq05yEiRwXcBMLjiodW9e4biSGYWAHcDj22rKWQ3s/edit?usp=sharing"",""กำแพงเพชร!M164"")+IMPORTRANGE(""https://docs.google.com/spreadsheets/d/1KS0zmDSZPk8KnTAbGN-Xk6MtX1YRZD0ldgdt20K4CRk/edit?usp=sharing"","&amp;"""เชียงราย!M164"")+IMPORTRANGE(""https://docs.google.com/spreadsheets/d/1rEDxBtusbi64tE0zunoIbsTVV16HeL0oJ6trHQeQ7K8/edit?usp=sharing"",""เชียงใหม่!M164"")+IMPORTRANGE(""https://docs.google.com/spreadsheets/d/1W6MnUbDkMi6xHnHko_XkFDO9kkuL6Wqyc-6OCDFjW9I/e"&amp;"dit?usp=sharing"",""ตาก!M164"")+IMPORTRANGE(""https://docs.google.com/spreadsheets/d/1IQAWArduLkta9LpYo4a_ULsyqdta6-6aDDiwpUnQT6c/edit?usp=sharing"",""นครสวรรค์!M164"")+IMPORTRANGE(""https://docs.google.com/spreadsheets/d/10s13Sk5xrltsiR-Zkbmk5DwIaDIKO8Xl"&amp;"bJAfqyT7Gvg/edit?usp=sharing"",""น่าน!M164"")+IMPORTRANGE(""https://docs.google.com/spreadsheets/d/1uu4nAn4Dbi1XREnLKKotUANlKXa7yCgRcgq8HEzQYW8/edit?usp=sharing"",""พะเยา!M164"")+IMPORTRANGE(""https://docs.google.com/spreadsheets/d/1xfJKIQxVOaPDIICqsflNlL"&amp;"u3JacTDk1FP9RH4phX7mI/edit?usp=sharing"",""พิจิตร!M164"")+IMPORTRANGE(""https://docs.google.com/spreadsheets/d/1JtRfZkJMHtEhI5RdRHxYUG4FIZHqKDpNyIuN7A1Q0_k/edit?usp=sharing"",""พิษณุโลก!M164"")+IMPORTRANGE(""https://docs.google.com/spreadsheets/d/1xlcVZWU"&amp;"Nn6SuWm0c307h32SiGkd9BaeQWlAktfD3KO8/edit?usp=sharing"",""เพชรบูรณ์!M164"")+IMPORTRANGE(""https://docs.google.com/spreadsheets/d/1lOVebEIsI9qjGXl6EX66luk7wiuP2tBaryw-wKvv4e0/edit?usp=sharing"",""แพร่!M164"")+IMPORTRANGE(""https://docs.google.com/spreadshe"&amp;"ets/d/1dQrvX0vEcN7Gu0fnZ0B5S90AeR19zth4XlExFBeExMY/edit?usp=sharing"",""แม่ฮ่องสอน!M164"")+IMPORTRANGE(""https://docs.google.com/spreadsheets/d/1DY4XTNNwjluuxqdfdn6qvOSlMRrZqUtmYcZR0ttFiG4/edit?usp=sharing"",""ลำปาง!M164"")+IMPORTRANGE(""https://docs.goog"&amp;"le.com/spreadsheets/d/1ICwG78r0OFT8biBlxnBF8r7she7gNSzOvJ958PWT09c/edit?usp=sharing"",""ลำพูน!M164"")+IMPORTRANGE(""https://docs.google.com/spreadsheets/d/1B0f2xJpZUC6Z0xXnqKlZtEPzsf6L84eP1r1Q15seqRM/edit?usp=sharing"",""สุโขทัย!M164"")+IMPORTRANGE(""http"&amp;"s://docs.google.com/spreadsheets/d/1v0b9pFQCsKUVExMei7AgY2yQkdeNQvtOssygGsXbiKo/edit?usp=sharing"",""อุตรดิตถ์!M164"")+IMPORTRANGE(""https://docs.google.com/spreadsheets/d/1UsNK1e-WWiCo2PvGqdNfdme4m17_Ezd3J69EeeiQPD0/edit?usp=sharing"",""อุทัยธานี!M164"")"),0)</f>
        <v>0</v>
      </c>
      <c r="N164" s="59">
        <f ca="1">IFERROR(__xludf.DUMMYFUNCTION("IMPORTRANGE(""https://docs.google.com/spreadsheets/d/1jTcq05yEiRwXcBMLjiodW9e4biSGYWAHcDj22rKWQ3s/edit?usp=sharing"",""กำแพงเพชร!N164"")+IMPORTRANGE(""https://docs.google.com/spreadsheets/d/1KS0zmDSZPk8KnTAbGN-Xk6MtX1YRZD0ldgdt20K4CRk/edit?usp=sharing"","&amp;"""เชียงราย!N164"")+IMPORTRANGE(""https://docs.google.com/spreadsheets/d/1rEDxBtusbi64tE0zunoIbsTVV16HeL0oJ6trHQeQ7K8/edit?usp=sharing"",""เชียงใหม่!N164"")+IMPORTRANGE(""https://docs.google.com/spreadsheets/d/1W6MnUbDkMi6xHnHko_XkFDO9kkuL6Wqyc-6OCDFjW9I/e"&amp;"dit?usp=sharing"",""ตาก!N164"")+IMPORTRANGE(""https://docs.google.com/spreadsheets/d/1IQAWArduLkta9LpYo4a_ULsyqdta6-6aDDiwpUnQT6c/edit?usp=sharing"",""นครสวรรค์!N164"")+IMPORTRANGE(""https://docs.google.com/spreadsheets/d/10s13Sk5xrltsiR-Zkbmk5DwIaDIKO8Xl"&amp;"bJAfqyT7Gvg/edit?usp=sharing"",""น่าน!N164"")+IMPORTRANGE(""https://docs.google.com/spreadsheets/d/1uu4nAn4Dbi1XREnLKKotUANlKXa7yCgRcgq8HEzQYW8/edit?usp=sharing"",""พะเยา!N164"")+IMPORTRANGE(""https://docs.google.com/spreadsheets/d/1xfJKIQxVOaPDIICqsflNlL"&amp;"u3JacTDk1FP9RH4phX7mI/edit?usp=sharing"",""พิจิตร!N164"")+IMPORTRANGE(""https://docs.google.com/spreadsheets/d/1JtRfZkJMHtEhI5RdRHxYUG4FIZHqKDpNyIuN7A1Q0_k/edit?usp=sharing"",""พิษณุโลก!N164"")+IMPORTRANGE(""https://docs.google.com/spreadsheets/d/1xlcVZWU"&amp;"Nn6SuWm0c307h32SiGkd9BaeQWlAktfD3KO8/edit?usp=sharing"",""เพชรบูรณ์!N164"")+IMPORTRANGE(""https://docs.google.com/spreadsheets/d/1lOVebEIsI9qjGXl6EX66luk7wiuP2tBaryw-wKvv4e0/edit?usp=sharing"",""แพร่!N164"")+IMPORTRANGE(""https://docs.google.com/spreadshe"&amp;"ets/d/1dQrvX0vEcN7Gu0fnZ0B5S90AeR19zth4XlExFBeExMY/edit?usp=sharing"",""แม่ฮ่องสอน!N164"")+IMPORTRANGE(""https://docs.google.com/spreadsheets/d/1DY4XTNNwjluuxqdfdn6qvOSlMRrZqUtmYcZR0ttFiG4/edit?usp=sharing"",""ลำปาง!N164"")+IMPORTRANGE(""https://docs.goog"&amp;"le.com/spreadsheets/d/1ICwG78r0OFT8biBlxnBF8r7she7gNSzOvJ958PWT09c/edit?usp=sharing"",""ลำพูน!N164"")+IMPORTRANGE(""https://docs.google.com/spreadsheets/d/1B0f2xJpZUC6Z0xXnqKlZtEPzsf6L84eP1r1Q15seqRM/edit?usp=sharing"",""สุโขทัย!N164"")+IMPORTRANGE(""http"&amp;"s://docs.google.com/spreadsheets/d/1v0b9pFQCsKUVExMei7AgY2yQkdeNQvtOssygGsXbiKo/edit?usp=sharing"",""อุตรดิตถ์!N164"")+IMPORTRANGE(""https://docs.google.com/spreadsheets/d/1UsNK1e-WWiCo2PvGqdNfdme4m17_Ezd3J69EeeiQPD0/edit?usp=sharing"",""อุทัยธานี!N164"")"),0)</f>
        <v>0</v>
      </c>
      <c r="O164" s="59">
        <f t="shared" ca="1" si="76"/>
        <v>0</v>
      </c>
      <c r="P164" s="59">
        <f t="shared" ca="1" si="77"/>
        <v>0</v>
      </c>
    </row>
    <row r="165" spans="1:16" ht="18.75" x14ac:dyDescent="0.25">
      <c r="A165" s="157"/>
      <c r="B165" s="53"/>
      <c r="C165" s="53"/>
      <c r="D165" s="53"/>
      <c r="E165" s="60" t="s">
        <v>19</v>
      </c>
      <c r="F165" s="53"/>
      <c r="G165" s="55"/>
      <c r="H165" s="166" t="s">
        <v>12</v>
      </c>
      <c r="I165" s="164"/>
      <c r="J165" s="164"/>
      <c r="K165" s="165"/>
      <c r="L165" s="59">
        <f ca="1">IFERROR(__xludf.DUMMYFUNCTION("IMPORTRANGE(""https://docs.google.com/spreadsheets/d/1jTcq05yEiRwXcBMLjiodW9e4biSGYWAHcDj22rKWQ3s/edit?usp=sharing"",""กำแพงเพชร!L165"")+IMPORTRANGE(""https://docs.google.com/spreadsheets/d/1KS0zmDSZPk8KnTAbGN-Xk6MtX1YRZD0ldgdt20K4CRk/edit?usp=sharing"","&amp;"""เชียงราย!L165"")+IMPORTRANGE(""https://docs.google.com/spreadsheets/d/1rEDxBtusbi64tE0zunoIbsTVV16HeL0oJ6trHQeQ7K8/edit?usp=sharing"",""เชียงใหม่!L165"")+IMPORTRANGE(""https://docs.google.com/spreadsheets/d/1W6MnUbDkMi6xHnHko_XkFDO9kkuL6Wqyc-6OCDFjW9I/e"&amp;"dit?usp=sharing"",""ตาก!L165"")+IMPORTRANGE(""https://docs.google.com/spreadsheets/d/1IQAWArduLkta9LpYo4a_ULsyqdta6-6aDDiwpUnQT6c/edit?usp=sharing"",""นครสวรรค์!L165"")+IMPORTRANGE(""https://docs.google.com/spreadsheets/d/10s13Sk5xrltsiR-Zkbmk5DwIaDIKO8Xl"&amp;"bJAfqyT7Gvg/edit?usp=sharing"",""น่าน!L165"")+IMPORTRANGE(""https://docs.google.com/spreadsheets/d/1uu4nAn4Dbi1XREnLKKotUANlKXa7yCgRcgq8HEzQYW8/edit?usp=sharing"",""พะเยา!L165"")+IMPORTRANGE(""https://docs.google.com/spreadsheets/d/1xfJKIQxVOaPDIICqsflNlL"&amp;"u3JacTDk1FP9RH4phX7mI/edit?usp=sharing"",""พิจิตร!L165"")+IMPORTRANGE(""https://docs.google.com/spreadsheets/d/1JtRfZkJMHtEhI5RdRHxYUG4FIZHqKDpNyIuN7A1Q0_k/edit?usp=sharing"",""พิษณุโลก!L165"")+IMPORTRANGE(""https://docs.google.com/spreadsheets/d/1xlcVZWU"&amp;"Nn6SuWm0c307h32SiGkd9BaeQWlAktfD3KO8/edit?usp=sharing"",""เพชรบูรณ์!L165"")+IMPORTRANGE(""https://docs.google.com/spreadsheets/d/1lOVebEIsI9qjGXl6EX66luk7wiuP2tBaryw-wKvv4e0/edit?usp=sharing"",""แพร่!L165"")+IMPORTRANGE(""https://docs.google.com/spreadshe"&amp;"ets/d/1dQrvX0vEcN7Gu0fnZ0B5S90AeR19zth4XlExFBeExMY/edit?usp=sharing"",""แม่ฮ่องสอน!L165"")+IMPORTRANGE(""https://docs.google.com/spreadsheets/d/1DY4XTNNwjluuxqdfdn6qvOSlMRrZqUtmYcZR0ttFiG4/edit?usp=sharing"",""ลำปาง!L165"")+IMPORTRANGE(""https://docs.goog"&amp;"le.com/spreadsheets/d/1ICwG78r0OFT8biBlxnBF8r7she7gNSzOvJ958PWT09c/edit?usp=sharing"",""ลำพูน!L165"")+IMPORTRANGE(""https://docs.google.com/spreadsheets/d/1B0f2xJpZUC6Z0xXnqKlZtEPzsf6L84eP1r1Q15seqRM/edit?usp=sharing"",""สุโขทัย!L165"")+IMPORTRANGE(""http"&amp;"s://docs.google.com/spreadsheets/d/1v0b9pFQCsKUVExMei7AgY2yQkdeNQvtOssygGsXbiKo/edit?usp=sharing"",""อุตรดิตถ์!L165"")+IMPORTRANGE(""https://docs.google.com/spreadsheets/d/1UsNK1e-WWiCo2PvGqdNfdme4m17_Ezd3J69EeeiQPD0/edit?usp=sharing"",""อุทัยธานี!L165"")"),0)</f>
        <v>0</v>
      </c>
      <c r="M165" s="59">
        <f ca="1">IFERROR(__xludf.DUMMYFUNCTION("IMPORTRANGE(""https://docs.google.com/spreadsheets/d/1jTcq05yEiRwXcBMLjiodW9e4biSGYWAHcDj22rKWQ3s/edit?usp=sharing"",""กำแพงเพชร!M165"")+IMPORTRANGE(""https://docs.google.com/spreadsheets/d/1KS0zmDSZPk8KnTAbGN-Xk6MtX1YRZD0ldgdt20K4CRk/edit?usp=sharing"","&amp;"""เชียงราย!M165"")+IMPORTRANGE(""https://docs.google.com/spreadsheets/d/1rEDxBtusbi64tE0zunoIbsTVV16HeL0oJ6trHQeQ7K8/edit?usp=sharing"",""เชียงใหม่!M165"")+IMPORTRANGE(""https://docs.google.com/spreadsheets/d/1W6MnUbDkMi6xHnHko_XkFDO9kkuL6Wqyc-6OCDFjW9I/e"&amp;"dit?usp=sharing"",""ตาก!M165"")+IMPORTRANGE(""https://docs.google.com/spreadsheets/d/1IQAWArduLkta9LpYo4a_ULsyqdta6-6aDDiwpUnQT6c/edit?usp=sharing"",""นครสวรรค์!M165"")+IMPORTRANGE(""https://docs.google.com/spreadsheets/d/10s13Sk5xrltsiR-Zkbmk5DwIaDIKO8Xl"&amp;"bJAfqyT7Gvg/edit?usp=sharing"",""น่าน!M165"")+IMPORTRANGE(""https://docs.google.com/spreadsheets/d/1uu4nAn4Dbi1XREnLKKotUANlKXa7yCgRcgq8HEzQYW8/edit?usp=sharing"",""พะเยา!M165"")+IMPORTRANGE(""https://docs.google.com/spreadsheets/d/1xfJKIQxVOaPDIICqsflNlL"&amp;"u3JacTDk1FP9RH4phX7mI/edit?usp=sharing"",""พิจิตร!M165"")+IMPORTRANGE(""https://docs.google.com/spreadsheets/d/1JtRfZkJMHtEhI5RdRHxYUG4FIZHqKDpNyIuN7A1Q0_k/edit?usp=sharing"",""พิษณุโลก!M165"")+IMPORTRANGE(""https://docs.google.com/spreadsheets/d/1xlcVZWU"&amp;"Nn6SuWm0c307h32SiGkd9BaeQWlAktfD3KO8/edit?usp=sharing"",""เพชรบูรณ์!M165"")+IMPORTRANGE(""https://docs.google.com/spreadsheets/d/1lOVebEIsI9qjGXl6EX66luk7wiuP2tBaryw-wKvv4e0/edit?usp=sharing"",""แพร่!M165"")+IMPORTRANGE(""https://docs.google.com/spreadshe"&amp;"ets/d/1dQrvX0vEcN7Gu0fnZ0B5S90AeR19zth4XlExFBeExMY/edit?usp=sharing"",""แม่ฮ่องสอน!M165"")+IMPORTRANGE(""https://docs.google.com/spreadsheets/d/1DY4XTNNwjluuxqdfdn6qvOSlMRrZqUtmYcZR0ttFiG4/edit?usp=sharing"",""ลำปาง!M165"")+IMPORTRANGE(""https://docs.goog"&amp;"le.com/spreadsheets/d/1ICwG78r0OFT8biBlxnBF8r7she7gNSzOvJ958PWT09c/edit?usp=sharing"",""ลำพูน!M165"")+IMPORTRANGE(""https://docs.google.com/spreadsheets/d/1B0f2xJpZUC6Z0xXnqKlZtEPzsf6L84eP1r1Q15seqRM/edit?usp=sharing"",""สุโขทัย!M165"")+IMPORTRANGE(""http"&amp;"s://docs.google.com/spreadsheets/d/1v0b9pFQCsKUVExMei7AgY2yQkdeNQvtOssygGsXbiKo/edit?usp=sharing"",""อุตรดิตถ์!M165"")+IMPORTRANGE(""https://docs.google.com/spreadsheets/d/1UsNK1e-WWiCo2PvGqdNfdme4m17_Ezd3J69EeeiQPD0/edit?usp=sharing"",""อุทัยธานี!M165"")"),0)</f>
        <v>0</v>
      </c>
      <c r="N165" s="59">
        <f ca="1">IFERROR(__xludf.DUMMYFUNCTION("IMPORTRANGE(""https://docs.google.com/spreadsheets/d/1jTcq05yEiRwXcBMLjiodW9e4biSGYWAHcDj22rKWQ3s/edit?usp=sharing"",""กำแพงเพชร!N165"")+IMPORTRANGE(""https://docs.google.com/spreadsheets/d/1KS0zmDSZPk8KnTAbGN-Xk6MtX1YRZD0ldgdt20K4CRk/edit?usp=sharing"","&amp;"""เชียงราย!N165"")+IMPORTRANGE(""https://docs.google.com/spreadsheets/d/1rEDxBtusbi64tE0zunoIbsTVV16HeL0oJ6trHQeQ7K8/edit?usp=sharing"",""เชียงใหม่!N165"")+IMPORTRANGE(""https://docs.google.com/spreadsheets/d/1W6MnUbDkMi6xHnHko_XkFDO9kkuL6Wqyc-6OCDFjW9I/e"&amp;"dit?usp=sharing"",""ตาก!N165"")+IMPORTRANGE(""https://docs.google.com/spreadsheets/d/1IQAWArduLkta9LpYo4a_ULsyqdta6-6aDDiwpUnQT6c/edit?usp=sharing"",""นครสวรรค์!N165"")+IMPORTRANGE(""https://docs.google.com/spreadsheets/d/10s13Sk5xrltsiR-Zkbmk5DwIaDIKO8Xl"&amp;"bJAfqyT7Gvg/edit?usp=sharing"",""น่าน!N165"")+IMPORTRANGE(""https://docs.google.com/spreadsheets/d/1uu4nAn4Dbi1XREnLKKotUANlKXa7yCgRcgq8HEzQYW8/edit?usp=sharing"",""พะเยา!N165"")+IMPORTRANGE(""https://docs.google.com/spreadsheets/d/1xfJKIQxVOaPDIICqsflNlL"&amp;"u3JacTDk1FP9RH4phX7mI/edit?usp=sharing"",""พิจิตร!N165"")+IMPORTRANGE(""https://docs.google.com/spreadsheets/d/1JtRfZkJMHtEhI5RdRHxYUG4FIZHqKDpNyIuN7A1Q0_k/edit?usp=sharing"",""พิษณุโลก!N165"")+IMPORTRANGE(""https://docs.google.com/spreadsheets/d/1xlcVZWU"&amp;"Nn6SuWm0c307h32SiGkd9BaeQWlAktfD3KO8/edit?usp=sharing"",""เพชรบูรณ์!N165"")+IMPORTRANGE(""https://docs.google.com/spreadsheets/d/1lOVebEIsI9qjGXl6EX66luk7wiuP2tBaryw-wKvv4e0/edit?usp=sharing"",""แพร่!N165"")+IMPORTRANGE(""https://docs.google.com/spreadshe"&amp;"ets/d/1dQrvX0vEcN7Gu0fnZ0B5S90AeR19zth4XlExFBeExMY/edit?usp=sharing"",""แม่ฮ่องสอน!N165"")+IMPORTRANGE(""https://docs.google.com/spreadsheets/d/1DY4XTNNwjluuxqdfdn6qvOSlMRrZqUtmYcZR0ttFiG4/edit?usp=sharing"",""ลำปาง!N165"")+IMPORTRANGE(""https://docs.goog"&amp;"le.com/spreadsheets/d/1ICwG78r0OFT8biBlxnBF8r7she7gNSzOvJ958PWT09c/edit?usp=sharing"",""ลำพูน!N165"")+IMPORTRANGE(""https://docs.google.com/spreadsheets/d/1B0f2xJpZUC6Z0xXnqKlZtEPzsf6L84eP1r1Q15seqRM/edit?usp=sharing"",""สุโขทัย!N165"")+IMPORTRANGE(""http"&amp;"s://docs.google.com/spreadsheets/d/1v0b9pFQCsKUVExMei7AgY2yQkdeNQvtOssygGsXbiKo/edit?usp=sharing"",""อุตรดิตถ์!N165"")+IMPORTRANGE(""https://docs.google.com/spreadsheets/d/1UsNK1e-WWiCo2PvGqdNfdme4m17_Ezd3J69EeeiQPD0/edit?usp=sharing"",""อุทัยธานี!N165"")"),0)</f>
        <v>0</v>
      </c>
      <c r="O165" s="59">
        <f t="shared" ca="1" si="76"/>
        <v>0</v>
      </c>
      <c r="P165" s="59">
        <f t="shared" ca="1" si="77"/>
        <v>0</v>
      </c>
    </row>
    <row r="166" spans="1:16" ht="19.5" x14ac:dyDescent="0.3">
      <c r="A166" s="167"/>
      <c r="B166" s="168"/>
      <c r="C166" s="158" t="s">
        <v>16</v>
      </c>
      <c r="D166" s="169" t="s">
        <v>36</v>
      </c>
      <c r="E166" s="170"/>
      <c r="F166" s="170"/>
      <c r="G166" s="171"/>
      <c r="H166" s="225"/>
      <c r="I166" s="57"/>
      <c r="J166" s="57"/>
      <c r="K166" s="58"/>
      <c r="L166" s="58"/>
      <c r="M166" s="58"/>
      <c r="N166" s="58"/>
      <c r="O166" s="58"/>
      <c r="P166" s="58"/>
    </row>
    <row r="167" spans="1:16" ht="18.75" x14ac:dyDescent="0.25">
      <c r="A167" s="157"/>
      <c r="B167" s="53"/>
      <c r="C167" s="53"/>
      <c r="D167" s="250" t="s">
        <v>63</v>
      </c>
      <c r="E167" s="53"/>
      <c r="F167" s="53"/>
      <c r="G167" s="55"/>
      <c r="H167" s="166" t="s">
        <v>33</v>
      </c>
      <c r="I167" s="181">
        <f ca="1">IFERROR(__xludf.DUMMYFUNCTION("IMPORTRANGE(""https://docs.google.com/spreadsheets/d/1jTcq05yEiRwXcBMLjiodW9e4biSGYWAHcDj22rKWQ3s/edit?usp=sharing"",""กำแพงเพชร!I167"")+IMPORTRANGE(""https://docs.google.com/spreadsheets/d/1KS0zmDSZPk8KnTAbGN-Xk6MtX1YRZD0ldgdt20K4CRk/edit?usp=sharing"","&amp;"""เชียงราย!I167"")+IMPORTRANGE(""https://docs.google.com/spreadsheets/d/1rEDxBtusbi64tE0zunoIbsTVV16HeL0oJ6trHQeQ7K8/edit?usp=sharing"",""เชียงใหม่!I167"")+IMPORTRANGE(""https://docs.google.com/spreadsheets/d/1W6MnUbDkMi6xHnHko_XkFDO9kkuL6Wqyc-6OCDFjW9I/e"&amp;"dit?usp=sharing"",""ตาก!I167"")+IMPORTRANGE(""https://docs.google.com/spreadsheets/d/1IQAWArduLkta9LpYo4a_ULsyqdta6-6aDDiwpUnQT6c/edit?usp=sharing"",""นครสวรรค์!I167"")+IMPORTRANGE(""https://docs.google.com/spreadsheets/d/10s13Sk5xrltsiR-Zkbmk5DwIaDIKO8Xl"&amp;"bJAfqyT7Gvg/edit?usp=sharing"",""น่าน!I167"")+IMPORTRANGE(""https://docs.google.com/spreadsheets/d/1uu4nAn4Dbi1XREnLKKotUANlKXa7yCgRcgq8HEzQYW8/edit?usp=sharing"",""พะเยา!I167"")+IMPORTRANGE(""https://docs.google.com/spreadsheets/d/1xfJKIQxVOaPDIICqsflNlL"&amp;"u3JacTDk1FP9RH4phX7mI/edit?usp=sharing"",""พิจิตร!I167"")+IMPORTRANGE(""https://docs.google.com/spreadsheets/d/1JtRfZkJMHtEhI5RdRHxYUG4FIZHqKDpNyIuN7A1Q0_k/edit?usp=sharing"",""พิษณุโลก!I167"")+IMPORTRANGE(""https://docs.google.com/spreadsheets/d/1xlcVZWU"&amp;"Nn6SuWm0c307h32SiGkd9BaeQWlAktfD3KO8/edit?usp=sharing"",""เพชรบูรณ์!I167"")+IMPORTRANGE(""https://docs.google.com/spreadsheets/d/1lOVebEIsI9qjGXl6EX66luk7wiuP2tBaryw-wKvv4e0/edit?usp=sharing"",""แพร่!I167"")+IMPORTRANGE(""https://docs.google.com/spreadshe"&amp;"ets/d/1dQrvX0vEcN7Gu0fnZ0B5S90AeR19zth4XlExFBeExMY/edit?usp=sharing"",""แม่ฮ่องสอน!I167"")+IMPORTRANGE(""https://docs.google.com/spreadsheets/d/1DY4XTNNwjluuxqdfdn6qvOSlMRrZqUtmYcZR0ttFiG4/edit?usp=sharing"",""ลำปาง!I167"")+IMPORTRANGE(""https://docs.goog"&amp;"le.com/spreadsheets/d/1ICwG78r0OFT8biBlxnBF8r7she7gNSzOvJ958PWT09c/edit?usp=sharing"",""ลำพูน!I167"")+IMPORTRANGE(""https://docs.google.com/spreadsheets/d/1B0f2xJpZUC6Z0xXnqKlZtEPzsf6L84eP1r1Q15seqRM/edit?usp=sharing"",""สุโขทัย!I167"")+IMPORTRANGE(""http"&amp;"s://docs.google.com/spreadsheets/d/1v0b9pFQCsKUVExMei7AgY2yQkdeNQvtOssygGsXbiKo/edit?usp=sharing"",""อุตรดิตถ์!I167"")+IMPORTRANGE(""https://docs.google.com/spreadsheets/d/1UsNK1e-WWiCo2PvGqdNfdme4m17_Ezd3J69EeeiQPD0/edit?usp=sharing"",""อุทัยธานี!I167"")"),115)</f>
        <v>115</v>
      </c>
      <c r="J167" s="181">
        <f ca="1">IFERROR(__xludf.DUMMYFUNCTION("IMPORTRANGE(""https://docs.google.com/spreadsheets/d/1jTcq05yEiRwXcBMLjiodW9e4biSGYWAHcDj22rKWQ3s/edit?usp=sharing"",""กำแพงเพชร!J167"")+IMPORTRANGE(""https://docs.google.com/spreadsheets/d/1KS0zmDSZPk8KnTAbGN-Xk6MtX1YRZD0ldgdt20K4CRk/edit?usp=sharing"","&amp;"""เชียงราย!J167"")+IMPORTRANGE(""https://docs.google.com/spreadsheets/d/1rEDxBtusbi64tE0zunoIbsTVV16HeL0oJ6trHQeQ7K8/edit?usp=sharing"",""เชียงใหม่!J167"")+IMPORTRANGE(""https://docs.google.com/spreadsheets/d/1W6MnUbDkMi6xHnHko_XkFDO9kkuL6Wqyc-6OCDFjW9I/e"&amp;"dit?usp=sharing"",""ตาก!J167"")+IMPORTRANGE(""https://docs.google.com/spreadsheets/d/1IQAWArduLkta9LpYo4a_ULsyqdta6-6aDDiwpUnQT6c/edit?usp=sharing"",""นครสวรรค์!J167"")+IMPORTRANGE(""https://docs.google.com/spreadsheets/d/10s13Sk5xrltsiR-Zkbmk5DwIaDIKO8Xl"&amp;"bJAfqyT7Gvg/edit?usp=sharing"",""น่าน!J167"")+IMPORTRANGE(""https://docs.google.com/spreadsheets/d/1uu4nAn4Dbi1XREnLKKotUANlKXa7yCgRcgq8HEzQYW8/edit?usp=sharing"",""พะเยา!J167"")+IMPORTRANGE(""https://docs.google.com/spreadsheets/d/1xfJKIQxVOaPDIICqsflNlL"&amp;"u3JacTDk1FP9RH4phX7mI/edit?usp=sharing"",""พิจิตร!J167"")+IMPORTRANGE(""https://docs.google.com/spreadsheets/d/1JtRfZkJMHtEhI5RdRHxYUG4FIZHqKDpNyIuN7A1Q0_k/edit?usp=sharing"",""พิษณุโลก!J167"")+IMPORTRANGE(""https://docs.google.com/spreadsheets/d/1xlcVZWU"&amp;"Nn6SuWm0c307h32SiGkd9BaeQWlAktfD3KO8/edit?usp=sharing"",""เพชรบูรณ์!J167"")+IMPORTRANGE(""https://docs.google.com/spreadsheets/d/1lOVebEIsI9qjGXl6EX66luk7wiuP2tBaryw-wKvv4e0/edit?usp=sharing"",""แพร่!J167"")+IMPORTRANGE(""https://docs.google.com/spreadshe"&amp;"ets/d/1dQrvX0vEcN7Gu0fnZ0B5S90AeR19zth4XlExFBeExMY/edit?usp=sharing"",""แม่ฮ่องสอน!J167"")+IMPORTRANGE(""https://docs.google.com/spreadsheets/d/1DY4XTNNwjluuxqdfdn6qvOSlMRrZqUtmYcZR0ttFiG4/edit?usp=sharing"",""ลำปาง!J167"")+IMPORTRANGE(""https://docs.goog"&amp;"le.com/spreadsheets/d/1ICwG78r0OFT8biBlxnBF8r7she7gNSzOvJ958PWT09c/edit?usp=sharing"",""ลำพูน!J167"")+IMPORTRANGE(""https://docs.google.com/spreadsheets/d/1B0f2xJpZUC6Z0xXnqKlZtEPzsf6L84eP1r1Q15seqRM/edit?usp=sharing"",""สุโขทัย!J167"")+IMPORTRANGE(""http"&amp;"s://docs.google.com/spreadsheets/d/1v0b9pFQCsKUVExMei7AgY2yQkdeNQvtOssygGsXbiKo/edit?usp=sharing"",""อุตรดิตถ์!J167"")+IMPORTRANGE(""https://docs.google.com/spreadsheets/d/1UsNK1e-WWiCo2PvGqdNfdme4m17_Ezd3J69EeeiQPD0/edit?usp=sharing"",""อุทัยธานี!J167"")"),20)</f>
        <v>20</v>
      </c>
      <c r="K167" s="59">
        <f t="shared" ref="K167:K169" ca="1" si="82">IF(I167&gt;0,J167*100/I167,0)</f>
        <v>17.391304347826086</v>
      </c>
      <c r="L167" s="58"/>
      <c r="M167" s="58"/>
      <c r="N167" s="58"/>
      <c r="O167" s="58"/>
      <c r="P167" s="58"/>
    </row>
    <row r="168" spans="1:16" ht="18.75" x14ac:dyDescent="0.25">
      <c r="A168" s="157"/>
      <c r="B168" s="53"/>
      <c r="C168" s="53"/>
      <c r="D168" s="250" t="s">
        <v>64</v>
      </c>
      <c r="E168" s="53"/>
      <c r="F168" s="53"/>
      <c r="G168" s="55"/>
      <c r="H168" s="166" t="s">
        <v>33</v>
      </c>
      <c r="I168" s="181">
        <f t="shared" ref="I168:I169" ca="1" si="83">I167</f>
        <v>115</v>
      </c>
      <c r="J168" s="181">
        <v>0</v>
      </c>
      <c r="K168" s="59">
        <f t="shared" ca="1" si="82"/>
        <v>0</v>
      </c>
      <c r="L168" s="58"/>
      <c r="M168" s="58"/>
      <c r="N168" s="58"/>
      <c r="O168" s="58"/>
      <c r="P168" s="58"/>
    </row>
    <row r="169" spans="1:16" ht="18.75" x14ac:dyDescent="0.25">
      <c r="A169" s="251"/>
      <c r="B169" s="1"/>
      <c r="C169" s="1"/>
      <c r="D169" s="252" t="s">
        <v>65</v>
      </c>
      <c r="E169" s="1"/>
      <c r="F169" s="1"/>
      <c r="G169" s="135"/>
      <c r="H169" s="253" t="s">
        <v>33</v>
      </c>
      <c r="I169" s="254">
        <f t="shared" ca="1" si="83"/>
        <v>115</v>
      </c>
      <c r="J169" s="254">
        <v>0</v>
      </c>
      <c r="K169" s="139">
        <f t="shared" ca="1" si="82"/>
        <v>0</v>
      </c>
      <c r="L169" s="138"/>
      <c r="M169" s="138"/>
      <c r="N169" s="138"/>
      <c r="O169" s="138"/>
      <c r="P169" s="138"/>
    </row>
    <row r="170" spans="1:16" ht="19.5" x14ac:dyDescent="0.3">
      <c r="A170" s="255" t="s">
        <v>66</v>
      </c>
      <c r="B170" s="256"/>
      <c r="C170" s="256"/>
      <c r="D170" s="256"/>
      <c r="E170" s="257"/>
      <c r="F170" s="257"/>
      <c r="G170" s="257"/>
      <c r="H170" s="257"/>
      <c r="I170" s="258"/>
      <c r="J170" s="258"/>
      <c r="K170" s="259"/>
      <c r="L170" s="259"/>
      <c r="M170" s="259"/>
      <c r="N170" s="259"/>
      <c r="O170" s="259"/>
      <c r="P170" s="260"/>
    </row>
    <row r="171" spans="1:16" ht="19.5" x14ac:dyDescent="0.3">
      <c r="A171" s="261" t="s">
        <v>67</v>
      </c>
      <c r="B171" s="262"/>
      <c r="C171" s="262"/>
      <c r="D171" s="263"/>
      <c r="E171" s="263"/>
      <c r="F171" s="263"/>
      <c r="G171" s="264"/>
      <c r="H171" s="264"/>
      <c r="I171" s="265"/>
      <c r="J171" s="265"/>
      <c r="K171" s="266"/>
      <c r="L171" s="266"/>
      <c r="M171" s="266"/>
      <c r="N171" s="266"/>
      <c r="O171" s="266"/>
      <c r="P171" s="266"/>
    </row>
    <row r="172" spans="1:16" ht="19.5" x14ac:dyDescent="0.3">
      <c r="A172" s="267"/>
      <c r="B172" s="268" t="s">
        <v>68</v>
      </c>
      <c r="C172" s="269"/>
      <c r="D172" s="170"/>
      <c r="E172" s="170"/>
      <c r="F172" s="170"/>
      <c r="G172" s="171"/>
      <c r="H172" s="270" t="s">
        <v>33</v>
      </c>
      <c r="I172" s="271">
        <f t="shared" ref="I172:J172" ca="1" si="84">I183+I184</f>
        <v>119</v>
      </c>
      <c r="J172" s="271">
        <f t="shared" ca="1" si="84"/>
        <v>35</v>
      </c>
      <c r="K172" s="272">
        <f ca="1">IF(I172&gt;0,J172*100/I172,0)</f>
        <v>29.411764705882351</v>
      </c>
      <c r="L172" s="273"/>
      <c r="M172" s="273"/>
      <c r="N172" s="273"/>
      <c r="O172" s="273"/>
      <c r="P172" s="273"/>
    </row>
    <row r="173" spans="1:16" ht="19.5" x14ac:dyDescent="0.3">
      <c r="A173" s="157"/>
      <c r="B173" s="53"/>
      <c r="C173" s="158" t="s">
        <v>16</v>
      </c>
      <c r="D173" s="159" t="s">
        <v>17</v>
      </c>
      <c r="E173" s="53"/>
      <c r="F173" s="53"/>
      <c r="G173" s="55"/>
      <c r="H173" s="160" t="s">
        <v>12</v>
      </c>
      <c r="I173" s="57"/>
      <c r="J173" s="57"/>
      <c r="K173" s="58"/>
      <c r="L173" s="161">
        <f t="shared" ref="L173:N173" ca="1" si="85">L174+L175</f>
        <v>333030</v>
      </c>
      <c r="M173" s="161">
        <f t="shared" ca="1" si="85"/>
        <v>1525030</v>
      </c>
      <c r="N173" s="161">
        <f t="shared" ca="1" si="85"/>
        <v>920595</v>
      </c>
      <c r="O173" s="161">
        <f t="shared" ref="O173:O181" ca="1" si="86">IF(L173&gt;0,N173*100/L173,0)</f>
        <v>276.43005134672552</v>
      </c>
      <c r="P173" s="161">
        <f t="shared" ref="P173:P181" ca="1" si="87">IF(M173&gt;0,N173*100/M173,0)</f>
        <v>60.365697723979203</v>
      </c>
    </row>
    <row r="174" spans="1:16" ht="18.75" x14ac:dyDescent="0.25">
      <c r="A174" s="157"/>
      <c r="B174" s="53"/>
      <c r="C174" s="53"/>
      <c r="D174" s="53"/>
      <c r="E174" s="60" t="s">
        <v>18</v>
      </c>
      <c r="F174" s="53"/>
      <c r="G174" s="55"/>
      <c r="H174" s="162" t="s">
        <v>12</v>
      </c>
      <c r="I174" s="57"/>
      <c r="J174" s="57"/>
      <c r="K174" s="58"/>
      <c r="L174" s="59">
        <f t="shared" ref="L174:N174" ca="1" si="88">L177+L180</f>
        <v>0</v>
      </c>
      <c r="M174" s="59">
        <f t="shared" ca="1" si="88"/>
        <v>0</v>
      </c>
      <c r="N174" s="59">
        <f t="shared" ca="1" si="88"/>
        <v>0</v>
      </c>
      <c r="O174" s="59">
        <f t="shared" ca="1" si="86"/>
        <v>0</v>
      </c>
      <c r="P174" s="59">
        <f t="shared" ca="1" si="87"/>
        <v>0</v>
      </c>
    </row>
    <row r="175" spans="1:16" ht="18.75" x14ac:dyDescent="0.25">
      <c r="A175" s="157"/>
      <c r="B175" s="53"/>
      <c r="C175" s="53"/>
      <c r="D175" s="53"/>
      <c r="E175" s="60" t="s">
        <v>19</v>
      </c>
      <c r="F175" s="53"/>
      <c r="G175" s="55"/>
      <c r="H175" s="162" t="s">
        <v>12</v>
      </c>
      <c r="I175" s="57"/>
      <c r="J175" s="57"/>
      <c r="K175" s="58"/>
      <c r="L175" s="59">
        <f t="shared" ref="L175:N175" ca="1" si="89">L178+L181</f>
        <v>333030</v>
      </c>
      <c r="M175" s="59">
        <f t="shared" ca="1" si="89"/>
        <v>1525030</v>
      </c>
      <c r="N175" s="59">
        <f t="shared" ca="1" si="89"/>
        <v>920595</v>
      </c>
      <c r="O175" s="59">
        <f t="shared" ca="1" si="86"/>
        <v>276.43005134672552</v>
      </c>
      <c r="P175" s="59">
        <f t="shared" ca="1" si="87"/>
        <v>60.365697723979203</v>
      </c>
    </row>
    <row r="176" spans="1:16" ht="18.75" x14ac:dyDescent="0.25">
      <c r="A176" s="157"/>
      <c r="B176" s="53"/>
      <c r="C176" s="53"/>
      <c r="D176" s="54" t="s">
        <v>20</v>
      </c>
      <c r="E176" s="53"/>
      <c r="F176" s="53"/>
      <c r="G176" s="55"/>
      <c r="H176" s="163" t="s">
        <v>12</v>
      </c>
      <c r="I176" s="164"/>
      <c r="J176" s="164"/>
      <c r="K176" s="165"/>
      <c r="L176" s="59">
        <f t="shared" ref="L176:N176" ca="1" si="90">L177+L178</f>
        <v>333030</v>
      </c>
      <c r="M176" s="59">
        <f t="shared" ca="1" si="90"/>
        <v>1525030</v>
      </c>
      <c r="N176" s="59">
        <f t="shared" ca="1" si="90"/>
        <v>920595</v>
      </c>
      <c r="O176" s="59">
        <f t="shared" ca="1" si="86"/>
        <v>276.43005134672552</v>
      </c>
      <c r="P176" s="59">
        <f t="shared" ca="1" si="87"/>
        <v>60.365697723979203</v>
      </c>
    </row>
    <row r="177" spans="1:16" ht="18.75" x14ac:dyDescent="0.25">
      <c r="A177" s="157"/>
      <c r="B177" s="53"/>
      <c r="C177" s="53"/>
      <c r="D177" s="53"/>
      <c r="E177" s="60" t="s">
        <v>34</v>
      </c>
      <c r="F177" s="53"/>
      <c r="G177" s="55"/>
      <c r="H177" s="163" t="s">
        <v>12</v>
      </c>
      <c r="I177" s="164"/>
      <c r="J177" s="164"/>
      <c r="K177" s="165"/>
      <c r="L177" s="59">
        <f ca="1">IFERROR(__xludf.DUMMYFUNCTION("IMPORTRANGE(""https://docs.google.com/spreadsheets/d/1jTcq05yEiRwXcBMLjiodW9e4biSGYWAHcDj22rKWQ3s/edit?usp=sharing"",""กำแพงเพชร!L177"")+IMPORTRANGE(""https://docs.google.com/spreadsheets/d/1KS0zmDSZPk8KnTAbGN-Xk6MtX1YRZD0ldgdt20K4CRk/edit?usp=sharing"","&amp;"""เชียงราย!L177"")+IMPORTRANGE(""https://docs.google.com/spreadsheets/d/1rEDxBtusbi64tE0zunoIbsTVV16HeL0oJ6trHQeQ7K8/edit?usp=sharing"",""เชียงใหม่!L177"")+IMPORTRANGE(""https://docs.google.com/spreadsheets/d/1W6MnUbDkMi6xHnHko_XkFDO9kkuL6Wqyc-6OCDFjW9I/e"&amp;"dit?usp=sharing"",""ตาก!L177"")+IMPORTRANGE(""https://docs.google.com/spreadsheets/d/1IQAWArduLkta9LpYo4a_ULsyqdta6-6aDDiwpUnQT6c/edit?usp=sharing"",""นครสวรรค์!L177"")+IMPORTRANGE(""https://docs.google.com/spreadsheets/d/10s13Sk5xrltsiR-Zkbmk5DwIaDIKO8Xl"&amp;"bJAfqyT7Gvg/edit?usp=sharing"",""น่าน!L177"")+IMPORTRANGE(""https://docs.google.com/spreadsheets/d/1uu4nAn4Dbi1XREnLKKotUANlKXa7yCgRcgq8HEzQYW8/edit?usp=sharing"",""พะเยา!L177"")+IMPORTRANGE(""https://docs.google.com/spreadsheets/d/1xfJKIQxVOaPDIICqsflNlL"&amp;"u3JacTDk1FP9RH4phX7mI/edit?usp=sharing"",""พิจิตร!L177"")+IMPORTRANGE(""https://docs.google.com/spreadsheets/d/1JtRfZkJMHtEhI5RdRHxYUG4FIZHqKDpNyIuN7A1Q0_k/edit?usp=sharing"",""พิษณุโลก!L177"")+IMPORTRANGE(""https://docs.google.com/spreadsheets/d/1xlcVZWU"&amp;"Nn6SuWm0c307h32SiGkd9BaeQWlAktfD3KO8/edit?usp=sharing"",""เพชรบูรณ์!L177"")+IMPORTRANGE(""https://docs.google.com/spreadsheets/d/1lOVebEIsI9qjGXl6EX66luk7wiuP2tBaryw-wKvv4e0/edit?usp=sharing"",""แพร่!L177"")+IMPORTRANGE(""https://docs.google.com/spreadshe"&amp;"ets/d/1dQrvX0vEcN7Gu0fnZ0B5S90AeR19zth4XlExFBeExMY/edit?usp=sharing"",""แม่ฮ่องสอน!L177"")+IMPORTRANGE(""https://docs.google.com/spreadsheets/d/1DY4XTNNwjluuxqdfdn6qvOSlMRrZqUtmYcZR0ttFiG4/edit?usp=sharing"",""ลำปาง!L177"")+IMPORTRANGE(""https://docs.goog"&amp;"le.com/spreadsheets/d/1ICwG78r0OFT8biBlxnBF8r7she7gNSzOvJ958PWT09c/edit?usp=sharing"",""ลำพูน!L177"")+IMPORTRANGE(""https://docs.google.com/spreadsheets/d/1B0f2xJpZUC6Z0xXnqKlZtEPzsf6L84eP1r1Q15seqRM/edit?usp=sharing"",""สุโขทัย!L177"")+IMPORTRANGE(""http"&amp;"s://docs.google.com/spreadsheets/d/1v0b9pFQCsKUVExMei7AgY2yQkdeNQvtOssygGsXbiKo/edit?usp=sharing"",""อุตรดิตถ์!L177"")+IMPORTRANGE(""https://docs.google.com/spreadsheets/d/1UsNK1e-WWiCo2PvGqdNfdme4m17_Ezd3J69EeeiQPD0/edit?usp=sharing"",""อุทัยธานี!L177"")"),0)</f>
        <v>0</v>
      </c>
      <c r="M177" s="59">
        <f ca="1">IFERROR(__xludf.DUMMYFUNCTION("IMPORTRANGE(""https://docs.google.com/spreadsheets/d/1jTcq05yEiRwXcBMLjiodW9e4biSGYWAHcDj22rKWQ3s/edit?usp=sharing"",""กำแพงเพชร!M177"")+IMPORTRANGE(""https://docs.google.com/spreadsheets/d/1KS0zmDSZPk8KnTAbGN-Xk6MtX1YRZD0ldgdt20K4CRk/edit?usp=sharing"","&amp;"""เชียงราย!M177"")+IMPORTRANGE(""https://docs.google.com/spreadsheets/d/1rEDxBtusbi64tE0zunoIbsTVV16HeL0oJ6trHQeQ7K8/edit?usp=sharing"",""เชียงใหม่!M177"")+IMPORTRANGE(""https://docs.google.com/spreadsheets/d/1W6MnUbDkMi6xHnHko_XkFDO9kkuL6Wqyc-6OCDFjW9I/e"&amp;"dit?usp=sharing"",""ตาก!M177"")+IMPORTRANGE(""https://docs.google.com/spreadsheets/d/1IQAWArduLkta9LpYo4a_ULsyqdta6-6aDDiwpUnQT6c/edit?usp=sharing"",""นครสวรรค์!M177"")+IMPORTRANGE(""https://docs.google.com/spreadsheets/d/10s13Sk5xrltsiR-Zkbmk5DwIaDIKO8Xl"&amp;"bJAfqyT7Gvg/edit?usp=sharing"",""น่าน!M177"")+IMPORTRANGE(""https://docs.google.com/spreadsheets/d/1uu4nAn4Dbi1XREnLKKotUANlKXa7yCgRcgq8HEzQYW8/edit?usp=sharing"",""พะเยา!M177"")+IMPORTRANGE(""https://docs.google.com/spreadsheets/d/1xfJKIQxVOaPDIICqsflNlL"&amp;"u3JacTDk1FP9RH4phX7mI/edit?usp=sharing"",""พิจิตร!M177"")+IMPORTRANGE(""https://docs.google.com/spreadsheets/d/1JtRfZkJMHtEhI5RdRHxYUG4FIZHqKDpNyIuN7A1Q0_k/edit?usp=sharing"",""พิษณุโลก!M177"")+IMPORTRANGE(""https://docs.google.com/spreadsheets/d/1xlcVZWU"&amp;"Nn6SuWm0c307h32SiGkd9BaeQWlAktfD3KO8/edit?usp=sharing"",""เพชรบูรณ์!M177"")+IMPORTRANGE(""https://docs.google.com/spreadsheets/d/1lOVebEIsI9qjGXl6EX66luk7wiuP2tBaryw-wKvv4e0/edit?usp=sharing"",""แพร่!M177"")+IMPORTRANGE(""https://docs.google.com/spreadshe"&amp;"ets/d/1dQrvX0vEcN7Gu0fnZ0B5S90AeR19zth4XlExFBeExMY/edit?usp=sharing"",""แม่ฮ่องสอน!M177"")+IMPORTRANGE(""https://docs.google.com/spreadsheets/d/1DY4XTNNwjluuxqdfdn6qvOSlMRrZqUtmYcZR0ttFiG4/edit?usp=sharing"",""ลำปาง!M177"")+IMPORTRANGE(""https://docs.goog"&amp;"le.com/spreadsheets/d/1ICwG78r0OFT8biBlxnBF8r7she7gNSzOvJ958PWT09c/edit?usp=sharing"",""ลำพูน!M177"")+IMPORTRANGE(""https://docs.google.com/spreadsheets/d/1B0f2xJpZUC6Z0xXnqKlZtEPzsf6L84eP1r1Q15seqRM/edit?usp=sharing"",""สุโขทัย!M177"")+IMPORTRANGE(""http"&amp;"s://docs.google.com/spreadsheets/d/1v0b9pFQCsKUVExMei7AgY2yQkdeNQvtOssygGsXbiKo/edit?usp=sharing"",""อุตรดิตถ์!M177"")+IMPORTRANGE(""https://docs.google.com/spreadsheets/d/1UsNK1e-WWiCo2PvGqdNfdme4m17_Ezd3J69EeeiQPD0/edit?usp=sharing"",""อุทัยธานี!M177"")"),0)</f>
        <v>0</v>
      </c>
      <c r="N177" s="59">
        <f ca="1">IFERROR(__xludf.DUMMYFUNCTION("IMPORTRANGE(""https://docs.google.com/spreadsheets/d/1jTcq05yEiRwXcBMLjiodW9e4biSGYWAHcDj22rKWQ3s/edit?usp=sharing"",""กำแพงเพชร!N177"")+IMPORTRANGE(""https://docs.google.com/spreadsheets/d/1KS0zmDSZPk8KnTAbGN-Xk6MtX1YRZD0ldgdt20K4CRk/edit?usp=sharing"","&amp;"""เชียงราย!N177"")+IMPORTRANGE(""https://docs.google.com/spreadsheets/d/1rEDxBtusbi64tE0zunoIbsTVV16HeL0oJ6trHQeQ7K8/edit?usp=sharing"",""เชียงใหม่!N177"")+IMPORTRANGE(""https://docs.google.com/spreadsheets/d/1W6MnUbDkMi6xHnHko_XkFDO9kkuL6Wqyc-6OCDFjW9I/e"&amp;"dit?usp=sharing"",""ตาก!N177"")+IMPORTRANGE(""https://docs.google.com/spreadsheets/d/1IQAWArduLkta9LpYo4a_ULsyqdta6-6aDDiwpUnQT6c/edit?usp=sharing"",""นครสวรรค์!N177"")+IMPORTRANGE(""https://docs.google.com/spreadsheets/d/10s13Sk5xrltsiR-Zkbmk5DwIaDIKO8Xl"&amp;"bJAfqyT7Gvg/edit?usp=sharing"",""น่าน!N177"")+IMPORTRANGE(""https://docs.google.com/spreadsheets/d/1uu4nAn4Dbi1XREnLKKotUANlKXa7yCgRcgq8HEzQYW8/edit?usp=sharing"",""พะเยา!N177"")+IMPORTRANGE(""https://docs.google.com/spreadsheets/d/1xfJKIQxVOaPDIICqsflNlL"&amp;"u3JacTDk1FP9RH4phX7mI/edit?usp=sharing"",""พิจิตร!N177"")+IMPORTRANGE(""https://docs.google.com/spreadsheets/d/1JtRfZkJMHtEhI5RdRHxYUG4FIZHqKDpNyIuN7A1Q0_k/edit?usp=sharing"",""พิษณุโลก!N177"")+IMPORTRANGE(""https://docs.google.com/spreadsheets/d/1xlcVZWU"&amp;"Nn6SuWm0c307h32SiGkd9BaeQWlAktfD3KO8/edit?usp=sharing"",""เพชรบูรณ์!N177"")+IMPORTRANGE(""https://docs.google.com/spreadsheets/d/1lOVebEIsI9qjGXl6EX66luk7wiuP2tBaryw-wKvv4e0/edit?usp=sharing"",""แพร่!N177"")+IMPORTRANGE(""https://docs.google.com/spreadshe"&amp;"ets/d/1dQrvX0vEcN7Gu0fnZ0B5S90AeR19zth4XlExFBeExMY/edit?usp=sharing"",""แม่ฮ่องสอน!N177"")+IMPORTRANGE(""https://docs.google.com/spreadsheets/d/1DY4XTNNwjluuxqdfdn6qvOSlMRrZqUtmYcZR0ttFiG4/edit?usp=sharing"",""ลำปาง!N177"")+IMPORTRANGE(""https://docs.goog"&amp;"le.com/spreadsheets/d/1ICwG78r0OFT8biBlxnBF8r7she7gNSzOvJ958PWT09c/edit?usp=sharing"",""ลำพูน!N177"")+IMPORTRANGE(""https://docs.google.com/spreadsheets/d/1B0f2xJpZUC6Z0xXnqKlZtEPzsf6L84eP1r1Q15seqRM/edit?usp=sharing"",""สุโขทัย!N177"")+IMPORTRANGE(""http"&amp;"s://docs.google.com/spreadsheets/d/1v0b9pFQCsKUVExMei7AgY2yQkdeNQvtOssygGsXbiKo/edit?usp=sharing"",""อุตรดิตถ์!N177"")+IMPORTRANGE(""https://docs.google.com/spreadsheets/d/1UsNK1e-WWiCo2PvGqdNfdme4m17_Ezd3J69EeeiQPD0/edit?usp=sharing"",""อุทัยธานี!N177"")"),0)</f>
        <v>0</v>
      </c>
      <c r="O177" s="59">
        <f t="shared" ca="1" si="86"/>
        <v>0</v>
      </c>
      <c r="P177" s="59">
        <f t="shared" ca="1" si="87"/>
        <v>0</v>
      </c>
    </row>
    <row r="178" spans="1:16" ht="18.75" x14ac:dyDescent="0.25">
      <c r="A178" s="157"/>
      <c r="B178" s="53"/>
      <c r="C178" s="53"/>
      <c r="D178" s="53"/>
      <c r="E178" s="60" t="s">
        <v>35</v>
      </c>
      <c r="F178" s="53"/>
      <c r="G178" s="55"/>
      <c r="H178" s="163" t="s">
        <v>12</v>
      </c>
      <c r="I178" s="164"/>
      <c r="J178" s="164"/>
      <c r="K178" s="165"/>
      <c r="L178" s="59">
        <f ca="1">IFERROR(__xludf.DUMMYFUNCTION("IMPORTRANGE(""https://docs.google.com/spreadsheets/d/1jTcq05yEiRwXcBMLjiodW9e4biSGYWAHcDj22rKWQ3s/edit?usp=sharing"",""กำแพงเพชร!L178"")+IMPORTRANGE(""https://docs.google.com/spreadsheets/d/1KS0zmDSZPk8KnTAbGN-Xk6MtX1YRZD0ldgdt20K4CRk/edit?usp=sharing"","&amp;"""เชียงราย!L178"")+IMPORTRANGE(""https://docs.google.com/spreadsheets/d/1rEDxBtusbi64tE0zunoIbsTVV16HeL0oJ6trHQeQ7K8/edit?usp=sharing"",""เชียงใหม่!L178"")+IMPORTRANGE(""https://docs.google.com/spreadsheets/d/1W6MnUbDkMi6xHnHko_XkFDO9kkuL6Wqyc-6OCDFjW9I/e"&amp;"dit?usp=sharing"",""ตาก!L178"")+IMPORTRANGE(""https://docs.google.com/spreadsheets/d/1IQAWArduLkta9LpYo4a_ULsyqdta6-6aDDiwpUnQT6c/edit?usp=sharing"",""นครสวรรค์!L178"")+IMPORTRANGE(""https://docs.google.com/spreadsheets/d/10s13Sk5xrltsiR-Zkbmk5DwIaDIKO8Xl"&amp;"bJAfqyT7Gvg/edit?usp=sharing"",""น่าน!L178"")+IMPORTRANGE(""https://docs.google.com/spreadsheets/d/1uu4nAn4Dbi1XREnLKKotUANlKXa7yCgRcgq8HEzQYW8/edit?usp=sharing"",""พะเยา!L178"")+IMPORTRANGE(""https://docs.google.com/spreadsheets/d/1xfJKIQxVOaPDIICqsflNlL"&amp;"u3JacTDk1FP9RH4phX7mI/edit?usp=sharing"",""พิจิตร!L178"")+IMPORTRANGE(""https://docs.google.com/spreadsheets/d/1JtRfZkJMHtEhI5RdRHxYUG4FIZHqKDpNyIuN7A1Q0_k/edit?usp=sharing"",""พิษณุโลก!L178"")+IMPORTRANGE(""https://docs.google.com/spreadsheets/d/1xlcVZWU"&amp;"Nn6SuWm0c307h32SiGkd9BaeQWlAktfD3KO8/edit?usp=sharing"",""เพชรบูรณ์!L178"")+IMPORTRANGE(""https://docs.google.com/spreadsheets/d/1lOVebEIsI9qjGXl6EX66luk7wiuP2tBaryw-wKvv4e0/edit?usp=sharing"",""แพร่!L178"")+IMPORTRANGE(""https://docs.google.com/spreadshe"&amp;"ets/d/1dQrvX0vEcN7Gu0fnZ0B5S90AeR19zth4XlExFBeExMY/edit?usp=sharing"",""แม่ฮ่องสอน!L178"")+IMPORTRANGE(""https://docs.google.com/spreadsheets/d/1DY4XTNNwjluuxqdfdn6qvOSlMRrZqUtmYcZR0ttFiG4/edit?usp=sharing"",""ลำปาง!L178"")+IMPORTRANGE(""https://docs.goog"&amp;"le.com/spreadsheets/d/1ICwG78r0OFT8biBlxnBF8r7she7gNSzOvJ958PWT09c/edit?usp=sharing"",""ลำพูน!L178"")+IMPORTRANGE(""https://docs.google.com/spreadsheets/d/1B0f2xJpZUC6Z0xXnqKlZtEPzsf6L84eP1r1Q15seqRM/edit?usp=sharing"",""สุโขทัย!L178"")+IMPORTRANGE(""http"&amp;"s://docs.google.com/spreadsheets/d/1v0b9pFQCsKUVExMei7AgY2yQkdeNQvtOssygGsXbiKo/edit?usp=sharing"",""อุตรดิตถ์!L178"")+IMPORTRANGE(""https://docs.google.com/spreadsheets/d/1UsNK1e-WWiCo2PvGqdNfdme4m17_Ezd3J69EeeiQPD0/edit?usp=sharing"",""อุทัยธานี!L178"")"),333030)</f>
        <v>333030</v>
      </c>
      <c r="M178" s="59">
        <f ca="1">IFERROR(__xludf.DUMMYFUNCTION("IMPORTRANGE(""https://docs.google.com/spreadsheets/d/1jTcq05yEiRwXcBMLjiodW9e4biSGYWAHcDj22rKWQ3s/edit?usp=sharing"",""กำแพงเพชร!M178"")+IMPORTRANGE(""https://docs.google.com/spreadsheets/d/1KS0zmDSZPk8KnTAbGN-Xk6MtX1YRZD0ldgdt20K4CRk/edit?usp=sharing"","&amp;"""เชียงราย!M178"")+IMPORTRANGE(""https://docs.google.com/spreadsheets/d/1rEDxBtusbi64tE0zunoIbsTVV16HeL0oJ6trHQeQ7K8/edit?usp=sharing"",""เชียงใหม่!M178"")+IMPORTRANGE(""https://docs.google.com/spreadsheets/d/1W6MnUbDkMi6xHnHko_XkFDO9kkuL6Wqyc-6OCDFjW9I/e"&amp;"dit?usp=sharing"",""ตาก!M178"")+IMPORTRANGE(""https://docs.google.com/spreadsheets/d/1IQAWArduLkta9LpYo4a_ULsyqdta6-6aDDiwpUnQT6c/edit?usp=sharing"",""นครสวรรค์!M178"")+IMPORTRANGE(""https://docs.google.com/spreadsheets/d/10s13Sk5xrltsiR-Zkbmk5DwIaDIKO8Xl"&amp;"bJAfqyT7Gvg/edit?usp=sharing"",""น่าน!M178"")+IMPORTRANGE(""https://docs.google.com/spreadsheets/d/1uu4nAn4Dbi1XREnLKKotUANlKXa7yCgRcgq8HEzQYW8/edit?usp=sharing"",""พะเยา!M178"")+IMPORTRANGE(""https://docs.google.com/spreadsheets/d/1xfJKIQxVOaPDIICqsflNlL"&amp;"u3JacTDk1FP9RH4phX7mI/edit?usp=sharing"",""พิจิตร!M178"")+IMPORTRANGE(""https://docs.google.com/spreadsheets/d/1JtRfZkJMHtEhI5RdRHxYUG4FIZHqKDpNyIuN7A1Q0_k/edit?usp=sharing"",""พิษณุโลก!M178"")+IMPORTRANGE(""https://docs.google.com/spreadsheets/d/1xlcVZWU"&amp;"Nn6SuWm0c307h32SiGkd9BaeQWlAktfD3KO8/edit?usp=sharing"",""เพชรบูรณ์!M178"")+IMPORTRANGE(""https://docs.google.com/spreadsheets/d/1lOVebEIsI9qjGXl6EX66luk7wiuP2tBaryw-wKvv4e0/edit?usp=sharing"",""แพร่!M178"")+IMPORTRANGE(""https://docs.google.com/spreadshe"&amp;"ets/d/1dQrvX0vEcN7Gu0fnZ0B5S90AeR19zth4XlExFBeExMY/edit?usp=sharing"",""แม่ฮ่องสอน!M178"")+IMPORTRANGE(""https://docs.google.com/spreadsheets/d/1DY4XTNNwjluuxqdfdn6qvOSlMRrZqUtmYcZR0ttFiG4/edit?usp=sharing"",""ลำปาง!M178"")+IMPORTRANGE(""https://docs.goog"&amp;"le.com/spreadsheets/d/1ICwG78r0OFT8biBlxnBF8r7she7gNSzOvJ958PWT09c/edit?usp=sharing"",""ลำพูน!M178"")+IMPORTRANGE(""https://docs.google.com/spreadsheets/d/1B0f2xJpZUC6Z0xXnqKlZtEPzsf6L84eP1r1Q15seqRM/edit?usp=sharing"",""สุโขทัย!M178"")+IMPORTRANGE(""http"&amp;"s://docs.google.com/spreadsheets/d/1v0b9pFQCsKUVExMei7AgY2yQkdeNQvtOssygGsXbiKo/edit?usp=sharing"",""อุตรดิตถ์!M178"")+IMPORTRANGE(""https://docs.google.com/spreadsheets/d/1UsNK1e-WWiCo2PvGqdNfdme4m17_Ezd3J69EeeiQPD0/edit?usp=sharing"",""อุทัยธานี!M178"")"),1525030)</f>
        <v>1525030</v>
      </c>
      <c r="N178" s="59">
        <f ca="1">IFERROR(__xludf.DUMMYFUNCTION("IMPORTRANGE(""https://docs.google.com/spreadsheets/d/1jTcq05yEiRwXcBMLjiodW9e4biSGYWAHcDj22rKWQ3s/edit?usp=sharing"",""กำแพงเพชร!N178"")+IMPORTRANGE(""https://docs.google.com/spreadsheets/d/1KS0zmDSZPk8KnTAbGN-Xk6MtX1YRZD0ldgdt20K4CRk/edit?usp=sharing"","&amp;"""เชียงราย!N178"")+IMPORTRANGE(""https://docs.google.com/spreadsheets/d/1rEDxBtusbi64tE0zunoIbsTVV16HeL0oJ6trHQeQ7K8/edit?usp=sharing"",""เชียงใหม่!N178"")+IMPORTRANGE(""https://docs.google.com/spreadsheets/d/1W6MnUbDkMi6xHnHko_XkFDO9kkuL6Wqyc-6OCDFjW9I/e"&amp;"dit?usp=sharing"",""ตาก!N178"")+IMPORTRANGE(""https://docs.google.com/spreadsheets/d/1IQAWArduLkta9LpYo4a_ULsyqdta6-6aDDiwpUnQT6c/edit?usp=sharing"",""นครสวรรค์!N178"")+IMPORTRANGE(""https://docs.google.com/spreadsheets/d/10s13Sk5xrltsiR-Zkbmk5DwIaDIKO8Xl"&amp;"bJAfqyT7Gvg/edit?usp=sharing"",""น่าน!N178"")+IMPORTRANGE(""https://docs.google.com/spreadsheets/d/1uu4nAn4Dbi1XREnLKKotUANlKXa7yCgRcgq8HEzQYW8/edit?usp=sharing"",""พะเยา!N178"")+IMPORTRANGE(""https://docs.google.com/spreadsheets/d/1xfJKIQxVOaPDIICqsflNlL"&amp;"u3JacTDk1FP9RH4phX7mI/edit?usp=sharing"",""พิจิตร!N178"")+IMPORTRANGE(""https://docs.google.com/spreadsheets/d/1JtRfZkJMHtEhI5RdRHxYUG4FIZHqKDpNyIuN7A1Q0_k/edit?usp=sharing"",""พิษณุโลก!N178"")+IMPORTRANGE(""https://docs.google.com/spreadsheets/d/1xlcVZWU"&amp;"Nn6SuWm0c307h32SiGkd9BaeQWlAktfD3KO8/edit?usp=sharing"",""เพชรบูรณ์!N178"")+IMPORTRANGE(""https://docs.google.com/spreadsheets/d/1lOVebEIsI9qjGXl6EX66luk7wiuP2tBaryw-wKvv4e0/edit?usp=sharing"",""แพร่!N178"")+IMPORTRANGE(""https://docs.google.com/spreadshe"&amp;"ets/d/1dQrvX0vEcN7Gu0fnZ0B5S90AeR19zth4XlExFBeExMY/edit?usp=sharing"",""แม่ฮ่องสอน!N178"")+IMPORTRANGE(""https://docs.google.com/spreadsheets/d/1DY4XTNNwjluuxqdfdn6qvOSlMRrZqUtmYcZR0ttFiG4/edit?usp=sharing"",""ลำปาง!N178"")+IMPORTRANGE(""https://docs.goog"&amp;"le.com/spreadsheets/d/1ICwG78r0OFT8biBlxnBF8r7she7gNSzOvJ958PWT09c/edit?usp=sharing"",""ลำพูน!N178"")+IMPORTRANGE(""https://docs.google.com/spreadsheets/d/1B0f2xJpZUC6Z0xXnqKlZtEPzsf6L84eP1r1Q15seqRM/edit?usp=sharing"",""สุโขทัย!N178"")+IMPORTRANGE(""http"&amp;"s://docs.google.com/spreadsheets/d/1v0b9pFQCsKUVExMei7AgY2yQkdeNQvtOssygGsXbiKo/edit?usp=sharing"",""อุตรดิตถ์!N178"")+IMPORTRANGE(""https://docs.google.com/spreadsheets/d/1UsNK1e-WWiCo2PvGqdNfdme4m17_Ezd3J69EeeiQPD0/edit?usp=sharing"",""อุทัยธานี!N178"")"),920595)</f>
        <v>920595</v>
      </c>
      <c r="O178" s="59">
        <f t="shared" ca="1" si="86"/>
        <v>276.43005134672552</v>
      </c>
      <c r="P178" s="59">
        <f t="shared" ca="1" si="87"/>
        <v>60.365697723979203</v>
      </c>
    </row>
    <row r="179" spans="1:16" ht="18.75" x14ac:dyDescent="0.25">
      <c r="A179" s="157"/>
      <c r="B179" s="53"/>
      <c r="C179" s="53"/>
      <c r="D179" s="54" t="s">
        <v>21</v>
      </c>
      <c r="E179" s="53"/>
      <c r="F179" s="53"/>
      <c r="G179" s="55"/>
      <c r="H179" s="166" t="s">
        <v>12</v>
      </c>
      <c r="I179" s="164"/>
      <c r="J179" s="164"/>
      <c r="K179" s="165"/>
      <c r="L179" s="59">
        <f t="shared" ref="L179:N179" ca="1" si="91">L180+L181</f>
        <v>0</v>
      </c>
      <c r="M179" s="59">
        <f t="shared" ca="1" si="91"/>
        <v>0</v>
      </c>
      <c r="N179" s="59">
        <f t="shared" ca="1" si="91"/>
        <v>0</v>
      </c>
      <c r="O179" s="59">
        <f t="shared" ca="1" si="86"/>
        <v>0</v>
      </c>
      <c r="P179" s="59">
        <f t="shared" ca="1" si="87"/>
        <v>0</v>
      </c>
    </row>
    <row r="180" spans="1:16" ht="18.75" x14ac:dyDescent="0.25">
      <c r="A180" s="157"/>
      <c r="B180" s="53"/>
      <c r="C180" s="53"/>
      <c r="D180" s="53"/>
      <c r="E180" s="60" t="s">
        <v>18</v>
      </c>
      <c r="F180" s="53"/>
      <c r="G180" s="55"/>
      <c r="H180" s="163" t="s">
        <v>12</v>
      </c>
      <c r="I180" s="164"/>
      <c r="J180" s="164"/>
      <c r="K180" s="165"/>
      <c r="L180" s="59">
        <f ca="1">IFERROR(__xludf.DUMMYFUNCTION("IMPORTRANGE(""https://docs.google.com/spreadsheets/d/1jTcq05yEiRwXcBMLjiodW9e4biSGYWAHcDj22rKWQ3s/edit?usp=sharing"",""กำแพงเพชร!L180"")+IMPORTRANGE(""https://docs.google.com/spreadsheets/d/1KS0zmDSZPk8KnTAbGN-Xk6MtX1YRZD0ldgdt20K4CRk/edit?usp=sharing"","&amp;"""เชียงราย!L180"")+IMPORTRANGE(""https://docs.google.com/spreadsheets/d/1rEDxBtusbi64tE0zunoIbsTVV16HeL0oJ6trHQeQ7K8/edit?usp=sharing"",""เชียงใหม่!L180"")+IMPORTRANGE(""https://docs.google.com/spreadsheets/d/1W6MnUbDkMi6xHnHko_XkFDO9kkuL6Wqyc-6OCDFjW9I/e"&amp;"dit?usp=sharing"",""ตาก!L180"")+IMPORTRANGE(""https://docs.google.com/spreadsheets/d/1IQAWArduLkta9LpYo4a_ULsyqdta6-6aDDiwpUnQT6c/edit?usp=sharing"",""นครสวรรค์!L180"")+IMPORTRANGE(""https://docs.google.com/spreadsheets/d/10s13Sk5xrltsiR-Zkbmk5DwIaDIKO8Xl"&amp;"bJAfqyT7Gvg/edit?usp=sharing"",""น่าน!L180"")+IMPORTRANGE(""https://docs.google.com/spreadsheets/d/1uu4nAn4Dbi1XREnLKKotUANlKXa7yCgRcgq8HEzQYW8/edit?usp=sharing"",""พะเยา!L180"")+IMPORTRANGE(""https://docs.google.com/spreadsheets/d/1xfJKIQxVOaPDIICqsflNlL"&amp;"u3JacTDk1FP9RH4phX7mI/edit?usp=sharing"",""พิจิตร!L180"")+IMPORTRANGE(""https://docs.google.com/spreadsheets/d/1JtRfZkJMHtEhI5RdRHxYUG4FIZHqKDpNyIuN7A1Q0_k/edit?usp=sharing"",""พิษณุโลก!L180"")+IMPORTRANGE(""https://docs.google.com/spreadsheets/d/1xlcVZWU"&amp;"Nn6SuWm0c307h32SiGkd9BaeQWlAktfD3KO8/edit?usp=sharing"",""เพชรบูรณ์!L180"")+IMPORTRANGE(""https://docs.google.com/spreadsheets/d/1lOVebEIsI9qjGXl6EX66luk7wiuP2tBaryw-wKvv4e0/edit?usp=sharing"",""แพร่!L180"")+IMPORTRANGE(""https://docs.google.com/spreadshe"&amp;"ets/d/1dQrvX0vEcN7Gu0fnZ0B5S90AeR19zth4XlExFBeExMY/edit?usp=sharing"",""แม่ฮ่องสอน!L180"")+IMPORTRANGE(""https://docs.google.com/spreadsheets/d/1DY4XTNNwjluuxqdfdn6qvOSlMRrZqUtmYcZR0ttFiG4/edit?usp=sharing"",""ลำปาง!L180"")+IMPORTRANGE(""https://docs.goog"&amp;"le.com/spreadsheets/d/1ICwG78r0OFT8biBlxnBF8r7she7gNSzOvJ958PWT09c/edit?usp=sharing"",""ลำพูน!L180"")+IMPORTRANGE(""https://docs.google.com/spreadsheets/d/1B0f2xJpZUC6Z0xXnqKlZtEPzsf6L84eP1r1Q15seqRM/edit?usp=sharing"",""สุโขทัย!L180"")+IMPORTRANGE(""http"&amp;"s://docs.google.com/spreadsheets/d/1v0b9pFQCsKUVExMei7AgY2yQkdeNQvtOssygGsXbiKo/edit?usp=sharing"",""อุตรดิตถ์!L180"")+IMPORTRANGE(""https://docs.google.com/spreadsheets/d/1UsNK1e-WWiCo2PvGqdNfdme4m17_Ezd3J69EeeiQPD0/edit?usp=sharing"",""อุทัยธานี!L180"")"),0)</f>
        <v>0</v>
      </c>
      <c r="M180" s="59">
        <f ca="1">IFERROR(__xludf.DUMMYFUNCTION("IMPORTRANGE(""https://docs.google.com/spreadsheets/d/1jTcq05yEiRwXcBMLjiodW9e4biSGYWAHcDj22rKWQ3s/edit?usp=sharing"",""กำแพงเพชร!M180"")+IMPORTRANGE(""https://docs.google.com/spreadsheets/d/1KS0zmDSZPk8KnTAbGN-Xk6MtX1YRZD0ldgdt20K4CRk/edit?usp=sharing"","&amp;"""เชียงราย!M180"")+IMPORTRANGE(""https://docs.google.com/spreadsheets/d/1rEDxBtusbi64tE0zunoIbsTVV16HeL0oJ6trHQeQ7K8/edit?usp=sharing"",""เชียงใหม่!M180"")+IMPORTRANGE(""https://docs.google.com/spreadsheets/d/1W6MnUbDkMi6xHnHko_XkFDO9kkuL6Wqyc-6OCDFjW9I/e"&amp;"dit?usp=sharing"",""ตาก!M180"")+IMPORTRANGE(""https://docs.google.com/spreadsheets/d/1IQAWArduLkta9LpYo4a_ULsyqdta6-6aDDiwpUnQT6c/edit?usp=sharing"",""นครสวรรค์!M180"")+IMPORTRANGE(""https://docs.google.com/spreadsheets/d/10s13Sk5xrltsiR-Zkbmk5DwIaDIKO8Xl"&amp;"bJAfqyT7Gvg/edit?usp=sharing"",""น่าน!M180"")+IMPORTRANGE(""https://docs.google.com/spreadsheets/d/1uu4nAn4Dbi1XREnLKKotUANlKXa7yCgRcgq8HEzQYW8/edit?usp=sharing"",""พะเยา!M180"")+IMPORTRANGE(""https://docs.google.com/spreadsheets/d/1xfJKIQxVOaPDIICqsflNlL"&amp;"u3JacTDk1FP9RH4phX7mI/edit?usp=sharing"",""พิจิตร!M180"")+IMPORTRANGE(""https://docs.google.com/spreadsheets/d/1JtRfZkJMHtEhI5RdRHxYUG4FIZHqKDpNyIuN7A1Q0_k/edit?usp=sharing"",""พิษณุโลก!M180"")+IMPORTRANGE(""https://docs.google.com/spreadsheets/d/1xlcVZWU"&amp;"Nn6SuWm0c307h32SiGkd9BaeQWlAktfD3KO8/edit?usp=sharing"",""เพชรบูรณ์!M180"")+IMPORTRANGE(""https://docs.google.com/spreadsheets/d/1lOVebEIsI9qjGXl6EX66luk7wiuP2tBaryw-wKvv4e0/edit?usp=sharing"",""แพร่!M180"")+IMPORTRANGE(""https://docs.google.com/spreadshe"&amp;"ets/d/1dQrvX0vEcN7Gu0fnZ0B5S90AeR19zth4XlExFBeExMY/edit?usp=sharing"",""แม่ฮ่องสอน!M180"")+IMPORTRANGE(""https://docs.google.com/spreadsheets/d/1DY4XTNNwjluuxqdfdn6qvOSlMRrZqUtmYcZR0ttFiG4/edit?usp=sharing"",""ลำปาง!M180"")+IMPORTRANGE(""https://docs.goog"&amp;"le.com/spreadsheets/d/1ICwG78r0OFT8biBlxnBF8r7she7gNSzOvJ958PWT09c/edit?usp=sharing"",""ลำพูน!M180"")+IMPORTRANGE(""https://docs.google.com/spreadsheets/d/1B0f2xJpZUC6Z0xXnqKlZtEPzsf6L84eP1r1Q15seqRM/edit?usp=sharing"",""สุโขทัย!M180"")+IMPORTRANGE(""http"&amp;"s://docs.google.com/spreadsheets/d/1v0b9pFQCsKUVExMei7AgY2yQkdeNQvtOssygGsXbiKo/edit?usp=sharing"",""อุตรดิตถ์!M180"")+IMPORTRANGE(""https://docs.google.com/spreadsheets/d/1UsNK1e-WWiCo2PvGqdNfdme4m17_Ezd3J69EeeiQPD0/edit?usp=sharing"",""อุทัยธานี!M180"")"),0)</f>
        <v>0</v>
      </c>
      <c r="N180" s="59">
        <f ca="1">IFERROR(__xludf.DUMMYFUNCTION("IMPORTRANGE(""https://docs.google.com/spreadsheets/d/1jTcq05yEiRwXcBMLjiodW9e4biSGYWAHcDj22rKWQ3s/edit?usp=sharing"",""กำแพงเพชร!N180"")+IMPORTRANGE(""https://docs.google.com/spreadsheets/d/1KS0zmDSZPk8KnTAbGN-Xk6MtX1YRZD0ldgdt20K4CRk/edit?usp=sharing"","&amp;"""เชียงราย!N180"")+IMPORTRANGE(""https://docs.google.com/spreadsheets/d/1rEDxBtusbi64tE0zunoIbsTVV16HeL0oJ6trHQeQ7K8/edit?usp=sharing"",""เชียงใหม่!N180"")+IMPORTRANGE(""https://docs.google.com/spreadsheets/d/1W6MnUbDkMi6xHnHko_XkFDO9kkuL6Wqyc-6OCDFjW9I/e"&amp;"dit?usp=sharing"",""ตาก!N180"")+IMPORTRANGE(""https://docs.google.com/spreadsheets/d/1IQAWArduLkta9LpYo4a_ULsyqdta6-6aDDiwpUnQT6c/edit?usp=sharing"",""นครสวรรค์!N180"")+IMPORTRANGE(""https://docs.google.com/spreadsheets/d/10s13Sk5xrltsiR-Zkbmk5DwIaDIKO8Xl"&amp;"bJAfqyT7Gvg/edit?usp=sharing"",""น่าน!N180"")+IMPORTRANGE(""https://docs.google.com/spreadsheets/d/1uu4nAn4Dbi1XREnLKKotUANlKXa7yCgRcgq8HEzQYW8/edit?usp=sharing"",""พะเยา!N180"")+IMPORTRANGE(""https://docs.google.com/spreadsheets/d/1xfJKIQxVOaPDIICqsflNlL"&amp;"u3JacTDk1FP9RH4phX7mI/edit?usp=sharing"",""พิจิตร!N180"")+IMPORTRANGE(""https://docs.google.com/spreadsheets/d/1JtRfZkJMHtEhI5RdRHxYUG4FIZHqKDpNyIuN7A1Q0_k/edit?usp=sharing"",""พิษณุโลก!N180"")+IMPORTRANGE(""https://docs.google.com/spreadsheets/d/1xlcVZWU"&amp;"Nn6SuWm0c307h32SiGkd9BaeQWlAktfD3KO8/edit?usp=sharing"",""เพชรบูรณ์!N180"")+IMPORTRANGE(""https://docs.google.com/spreadsheets/d/1lOVebEIsI9qjGXl6EX66luk7wiuP2tBaryw-wKvv4e0/edit?usp=sharing"",""แพร่!N180"")+IMPORTRANGE(""https://docs.google.com/spreadshe"&amp;"ets/d/1dQrvX0vEcN7Gu0fnZ0B5S90AeR19zth4XlExFBeExMY/edit?usp=sharing"",""แม่ฮ่องสอน!N180"")+IMPORTRANGE(""https://docs.google.com/spreadsheets/d/1DY4XTNNwjluuxqdfdn6qvOSlMRrZqUtmYcZR0ttFiG4/edit?usp=sharing"",""ลำปาง!N180"")+IMPORTRANGE(""https://docs.goog"&amp;"le.com/spreadsheets/d/1ICwG78r0OFT8biBlxnBF8r7she7gNSzOvJ958PWT09c/edit?usp=sharing"",""ลำพูน!N180"")+IMPORTRANGE(""https://docs.google.com/spreadsheets/d/1B0f2xJpZUC6Z0xXnqKlZtEPzsf6L84eP1r1Q15seqRM/edit?usp=sharing"",""สุโขทัย!N180"")+IMPORTRANGE(""http"&amp;"s://docs.google.com/spreadsheets/d/1v0b9pFQCsKUVExMei7AgY2yQkdeNQvtOssygGsXbiKo/edit?usp=sharing"",""อุตรดิตถ์!N180"")+IMPORTRANGE(""https://docs.google.com/spreadsheets/d/1UsNK1e-WWiCo2PvGqdNfdme4m17_Ezd3J69EeeiQPD0/edit?usp=sharing"",""อุทัยธานี!N180"")"),0)</f>
        <v>0</v>
      </c>
      <c r="O180" s="59">
        <f t="shared" ca="1" si="86"/>
        <v>0</v>
      </c>
      <c r="P180" s="59">
        <f t="shared" ca="1" si="87"/>
        <v>0</v>
      </c>
    </row>
    <row r="181" spans="1:16" ht="18.75" x14ac:dyDescent="0.25">
      <c r="A181" s="157"/>
      <c r="B181" s="53"/>
      <c r="C181" s="53"/>
      <c r="D181" s="53"/>
      <c r="E181" s="60" t="s">
        <v>19</v>
      </c>
      <c r="F181" s="53"/>
      <c r="G181" s="55"/>
      <c r="H181" s="166" t="s">
        <v>12</v>
      </c>
      <c r="I181" s="164"/>
      <c r="J181" s="164"/>
      <c r="K181" s="165"/>
      <c r="L181" s="59">
        <f ca="1">IFERROR(__xludf.DUMMYFUNCTION("IMPORTRANGE(""https://docs.google.com/spreadsheets/d/1jTcq05yEiRwXcBMLjiodW9e4biSGYWAHcDj22rKWQ3s/edit?usp=sharing"",""กำแพงเพชร!L181"")+IMPORTRANGE(""https://docs.google.com/spreadsheets/d/1KS0zmDSZPk8KnTAbGN-Xk6MtX1YRZD0ldgdt20K4CRk/edit?usp=sharing"","&amp;"""เชียงราย!L181"")+IMPORTRANGE(""https://docs.google.com/spreadsheets/d/1rEDxBtusbi64tE0zunoIbsTVV16HeL0oJ6trHQeQ7K8/edit?usp=sharing"",""เชียงใหม่!L181"")+IMPORTRANGE(""https://docs.google.com/spreadsheets/d/1W6MnUbDkMi6xHnHko_XkFDO9kkuL6Wqyc-6OCDFjW9I/e"&amp;"dit?usp=sharing"",""ตาก!L181"")+IMPORTRANGE(""https://docs.google.com/spreadsheets/d/1IQAWArduLkta9LpYo4a_ULsyqdta6-6aDDiwpUnQT6c/edit?usp=sharing"",""นครสวรรค์!L181"")+IMPORTRANGE(""https://docs.google.com/spreadsheets/d/10s13Sk5xrltsiR-Zkbmk5DwIaDIKO8Xl"&amp;"bJAfqyT7Gvg/edit?usp=sharing"",""น่าน!L181"")+IMPORTRANGE(""https://docs.google.com/spreadsheets/d/1uu4nAn4Dbi1XREnLKKotUANlKXa7yCgRcgq8HEzQYW8/edit?usp=sharing"",""พะเยา!L181"")+IMPORTRANGE(""https://docs.google.com/spreadsheets/d/1xfJKIQxVOaPDIICqsflNlL"&amp;"u3JacTDk1FP9RH4phX7mI/edit?usp=sharing"",""พิจิตร!L181"")+IMPORTRANGE(""https://docs.google.com/spreadsheets/d/1JtRfZkJMHtEhI5RdRHxYUG4FIZHqKDpNyIuN7A1Q0_k/edit?usp=sharing"",""พิษณุโลก!L181"")+IMPORTRANGE(""https://docs.google.com/spreadsheets/d/1xlcVZWU"&amp;"Nn6SuWm0c307h32SiGkd9BaeQWlAktfD3KO8/edit?usp=sharing"",""เพชรบูรณ์!L181"")+IMPORTRANGE(""https://docs.google.com/spreadsheets/d/1lOVebEIsI9qjGXl6EX66luk7wiuP2tBaryw-wKvv4e0/edit?usp=sharing"",""แพร่!L181"")+IMPORTRANGE(""https://docs.google.com/spreadshe"&amp;"ets/d/1dQrvX0vEcN7Gu0fnZ0B5S90AeR19zth4XlExFBeExMY/edit?usp=sharing"",""แม่ฮ่องสอน!L181"")+IMPORTRANGE(""https://docs.google.com/spreadsheets/d/1DY4XTNNwjluuxqdfdn6qvOSlMRrZqUtmYcZR0ttFiG4/edit?usp=sharing"",""ลำปาง!L181"")+IMPORTRANGE(""https://docs.goog"&amp;"le.com/spreadsheets/d/1ICwG78r0OFT8biBlxnBF8r7she7gNSzOvJ958PWT09c/edit?usp=sharing"",""ลำพูน!L181"")+IMPORTRANGE(""https://docs.google.com/spreadsheets/d/1B0f2xJpZUC6Z0xXnqKlZtEPzsf6L84eP1r1Q15seqRM/edit?usp=sharing"",""สุโขทัย!L181"")+IMPORTRANGE(""http"&amp;"s://docs.google.com/spreadsheets/d/1v0b9pFQCsKUVExMei7AgY2yQkdeNQvtOssygGsXbiKo/edit?usp=sharing"",""อุตรดิตถ์!L181"")+IMPORTRANGE(""https://docs.google.com/spreadsheets/d/1UsNK1e-WWiCo2PvGqdNfdme4m17_Ezd3J69EeeiQPD0/edit?usp=sharing"",""อุทัยธานี!L181"")"),0)</f>
        <v>0</v>
      </c>
      <c r="M181" s="59">
        <f ca="1">IFERROR(__xludf.DUMMYFUNCTION("IMPORTRANGE(""https://docs.google.com/spreadsheets/d/1jTcq05yEiRwXcBMLjiodW9e4biSGYWAHcDj22rKWQ3s/edit?usp=sharing"",""กำแพงเพชร!M181"")+IMPORTRANGE(""https://docs.google.com/spreadsheets/d/1KS0zmDSZPk8KnTAbGN-Xk6MtX1YRZD0ldgdt20K4CRk/edit?usp=sharing"","&amp;"""เชียงราย!M181"")+IMPORTRANGE(""https://docs.google.com/spreadsheets/d/1rEDxBtusbi64tE0zunoIbsTVV16HeL0oJ6trHQeQ7K8/edit?usp=sharing"",""เชียงใหม่!M181"")+IMPORTRANGE(""https://docs.google.com/spreadsheets/d/1W6MnUbDkMi6xHnHko_XkFDO9kkuL6Wqyc-6OCDFjW9I/e"&amp;"dit?usp=sharing"",""ตาก!M181"")+IMPORTRANGE(""https://docs.google.com/spreadsheets/d/1IQAWArduLkta9LpYo4a_ULsyqdta6-6aDDiwpUnQT6c/edit?usp=sharing"",""นครสวรรค์!M181"")+IMPORTRANGE(""https://docs.google.com/spreadsheets/d/10s13Sk5xrltsiR-Zkbmk5DwIaDIKO8Xl"&amp;"bJAfqyT7Gvg/edit?usp=sharing"",""น่าน!M181"")+IMPORTRANGE(""https://docs.google.com/spreadsheets/d/1uu4nAn4Dbi1XREnLKKotUANlKXa7yCgRcgq8HEzQYW8/edit?usp=sharing"",""พะเยา!M181"")+IMPORTRANGE(""https://docs.google.com/spreadsheets/d/1xfJKIQxVOaPDIICqsflNlL"&amp;"u3JacTDk1FP9RH4phX7mI/edit?usp=sharing"",""พิจิตร!M181"")+IMPORTRANGE(""https://docs.google.com/spreadsheets/d/1JtRfZkJMHtEhI5RdRHxYUG4FIZHqKDpNyIuN7A1Q0_k/edit?usp=sharing"",""พิษณุโลก!M181"")+IMPORTRANGE(""https://docs.google.com/spreadsheets/d/1xlcVZWU"&amp;"Nn6SuWm0c307h32SiGkd9BaeQWlAktfD3KO8/edit?usp=sharing"",""เพชรบูรณ์!M181"")+IMPORTRANGE(""https://docs.google.com/spreadsheets/d/1lOVebEIsI9qjGXl6EX66luk7wiuP2tBaryw-wKvv4e0/edit?usp=sharing"",""แพร่!M181"")+IMPORTRANGE(""https://docs.google.com/spreadshe"&amp;"ets/d/1dQrvX0vEcN7Gu0fnZ0B5S90AeR19zth4XlExFBeExMY/edit?usp=sharing"",""แม่ฮ่องสอน!M181"")+IMPORTRANGE(""https://docs.google.com/spreadsheets/d/1DY4XTNNwjluuxqdfdn6qvOSlMRrZqUtmYcZR0ttFiG4/edit?usp=sharing"",""ลำปาง!M181"")+IMPORTRANGE(""https://docs.goog"&amp;"le.com/spreadsheets/d/1ICwG78r0OFT8biBlxnBF8r7she7gNSzOvJ958PWT09c/edit?usp=sharing"",""ลำพูน!M181"")+IMPORTRANGE(""https://docs.google.com/spreadsheets/d/1B0f2xJpZUC6Z0xXnqKlZtEPzsf6L84eP1r1Q15seqRM/edit?usp=sharing"",""สุโขทัย!M181"")+IMPORTRANGE(""http"&amp;"s://docs.google.com/spreadsheets/d/1v0b9pFQCsKUVExMei7AgY2yQkdeNQvtOssygGsXbiKo/edit?usp=sharing"",""อุตรดิตถ์!M181"")+IMPORTRANGE(""https://docs.google.com/spreadsheets/d/1UsNK1e-WWiCo2PvGqdNfdme4m17_Ezd3J69EeeiQPD0/edit?usp=sharing"",""อุทัยธานี!M181"")"),0)</f>
        <v>0</v>
      </c>
      <c r="N181" s="59">
        <f ca="1">IFERROR(__xludf.DUMMYFUNCTION("IMPORTRANGE(""https://docs.google.com/spreadsheets/d/1jTcq05yEiRwXcBMLjiodW9e4biSGYWAHcDj22rKWQ3s/edit?usp=sharing"",""กำแพงเพชร!N181"")+IMPORTRANGE(""https://docs.google.com/spreadsheets/d/1KS0zmDSZPk8KnTAbGN-Xk6MtX1YRZD0ldgdt20K4CRk/edit?usp=sharing"","&amp;"""เชียงราย!N181"")+IMPORTRANGE(""https://docs.google.com/spreadsheets/d/1rEDxBtusbi64tE0zunoIbsTVV16HeL0oJ6trHQeQ7K8/edit?usp=sharing"",""เชียงใหม่!N181"")+IMPORTRANGE(""https://docs.google.com/spreadsheets/d/1W6MnUbDkMi6xHnHko_XkFDO9kkuL6Wqyc-6OCDFjW9I/e"&amp;"dit?usp=sharing"",""ตาก!N181"")+IMPORTRANGE(""https://docs.google.com/spreadsheets/d/1IQAWArduLkta9LpYo4a_ULsyqdta6-6aDDiwpUnQT6c/edit?usp=sharing"",""นครสวรรค์!N181"")+IMPORTRANGE(""https://docs.google.com/spreadsheets/d/10s13Sk5xrltsiR-Zkbmk5DwIaDIKO8Xl"&amp;"bJAfqyT7Gvg/edit?usp=sharing"",""น่าน!N181"")+IMPORTRANGE(""https://docs.google.com/spreadsheets/d/1uu4nAn4Dbi1XREnLKKotUANlKXa7yCgRcgq8HEzQYW8/edit?usp=sharing"",""พะเยา!N181"")+IMPORTRANGE(""https://docs.google.com/spreadsheets/d/1xfJKIQxVOaPDIICqsflNlL"&amp;"u3JacTDk1FP9RH4phX7mI/edit?usp=sharing"",""พิจิตร!N181"")+IMPORTRANGE(""https://docs.google.com/spreadsheets/d/1JtRfZkJMHtEhI5RdRHxYUG4FIZHqKDpNyIuN7A1Q0_k/edit?usp=sharing"",""พิษณุโลก!N181"")+IMPORTRANGE(""https://docs.google.com/spreadsheets/d/1xlcVZWU"&amp;"Nn6SuWm0c307h32SiGkd9BaeQWlAktfD3KO8/edit?usp=sharing"",""เพชรบูรณ์!N181"")+IMPORTRANGE(""https://docs.google.com/spreadsheets/d/1lOVebEIsI9qjGXl6EX66luk7wiuP2tBaryw-wKvv4e0/edit?usp=sharing"",""แพร่!N181"")+IMPORTRANGE(""https://docs.google.com/spreadshe"&amp;"ets/d/1dQrvX0vEcN7Gu0fnZ0B5S90AeR19zth4XlExFBeExMY/edit?usp=sharing"",""แม่ฮ่องสอน!N181"")+IMPORTRANGE(""https://docs.google.com/spreadsheets/d/1DY4XTNNwjluuxqdfdn6qvOSlMRrZqUtmYcZR0ttFiG4/edit?usp=sharing"",""ลำปาง!N181"")+IMPORTRANGE(""https://docs.goog"&amp;"le.com/spreadsheets/d/1ICwG78r0OFT8biBlxnBF8r7she7gNSzOvJ958PWT09c/edit?usp=sharing"",""ลำพูน!N181"")+IMPORTRANGE(""https://docs.google.com/spreadsheets/d/1B0f2xJpZUC6Z0xXnqKlZtEPzsf6L84eP1r1Q15seqRM/edit?usp=sharing"",""สุโขทัย!N181"")+IMPORTRANGE(""http"&amp;"s://docs.google.com/spreadsheets/d/1v0b9pFQCsKUVExMei7AgY2yQkdeNQvtOssygGsXbiKo/edit?usp=sharing"",""อุตรดิตถ์!N181"")+IMPORTRANGE(""https://docs.google.com/spreadsheets/d/1UsNK1e-WWiCo2PvGqdNfdme4m17_Ezd3J69EeeiQPD0/edit?usp=sharing"",""อุทัยธานี!N181"")"),0)</f>
        <v>0</v>
      </c>
      <c r="O181" s="59">
        <f t="shared" ca="1" si="86"/>
        <v>0</v>
      </c>
      <c r="P181" s="59">
        <f t="shared" ca="1" si="87"/>
        <v>0</v>
      </c>
    </row>
    <row r="182" spans="1:16" ht="19.5" x14ac:dyDescent="0.3">
      <c r="A182" s="167"/>
      <c r="B182" s="168"/>
      <c r="C182" s="158" t="s">
        <v>16</v>
      </c>
      <c r="D182" s="169" t="s">
        <v>36</v>
      </c>
      <c r="E182" s="170"/>
      <c r="F182" s="170"/>
      <c r="G182" s="171"/>
      <c r="H182" s="225"/>
      <c r="I182" s="57"/>
      <c r="J182" s="57"/>
      <c r="K182" s="58"/>
      <c r="L182" s="58"/>
      <c r="M182" s="58"/>
      <c r="N182" s="58"/>
      <c r="O182" s="58"/>
      <c r="P182" s="58"/>
    </row>
    <row r="183" spans="1:16" ht="18.75" x14ac:dyDescent="0.25">
      <c r="A183" s="274"/>
      <c r="B183" s="53"/>
      <c r="C183" s="275"/>
      <c r="D183" s="276" t="s">
        <v>69</v>
      </c>
      <c r="E183" s="53"/>
      <c r="F183" s="53"/>
      <c r="G183" s="55"/>
      <c r="H183" s="277" t="s">
        <v>33</v>
      </c>
      <c r="I183" s="181">
        <f ca="1">IFERROR(__xludf.DUMMYFUNCTION("IMPORTRANGE(""https://docs.google.com/spreadsheets/d/1jTcq05yEiRwXcBMLjiodW9e4biSGYWAHcDj22rKWQ3s/edit?usp=sharing"",""กำแพงเพชร!I183"")+IMPORTRANGE(""https://docs.google.com/spreadsheets/d/1KS0zmDSZPk8KnTAbGN-Xk6MtX1YRZD0ldgdt20K4CRk/edit?usp=sharing"","&amp;"""เชียงราย!I183"")+IMPORTRANGE(""https://docs.google.com/spreadsheets/d/1rEDxBtusbi64tE0zunoIbsTVV16HeL0oJ6trHQeQ7K8/edit?usp=sharing"",""เชียงใหม่!I183"")+IMPORTRANGE(""https://docs.google.com/spreadsheets/d/1W6MnUbDkMi6xHnHko_XkFDO9kkuL6Wqyc-6OCDFjW9I/e"&amp;"dit?usp=sharing"",""ตาก!I183"")+IMPORTRANGE(""https://docs.google.com/spreadsheets/d/1IQAWArduLkta9LpYo4a_ULsyqdta6-6aDDiwpUnQT6c/edit?usp=sharing"",""นครสวรรค์!I183"")+IMPORTRANGE(""https://docs.google.com/spreadsheets/d/10s13Sk5xrltsiR-Zkbmk5DwIaDIKO8Xl"&amp;"bJAfqyT7Gvg/edit?usp=sharing"",""น่าน!I183"")+IMPORTRANGE(""https://docs.google.com/spreadsheets/d/1uu4nAn4Dbi1XREnLKKotUANlKXa7yCgRcgq8HEzQYW8/edit?usp=sharing"",""พะเยา!I183"")+IMPORTRANGE(""https://docs.google.com/spreadsheets/d/1xfJKIQxVOaPDIICqsflNlL"&amp;"u3JacTDk1FP9RH4phX7mI/edit?usp=sharing"",""พิจิตร!I183"")+IMPORTRANGE(""https://docs.google.com/spreadsheets/d/1JtRfZkJMHtEhI5RdRHxYUG4FIZHqKDpNyIuN7A1Q0_k/edit?usp=sharing"",""พิษณุโลก!I183"")+IMPORTRANGE(""https://docs.google.com/spreadsheets/d/1xlcVZWU"&amp;"Nn6SuWm0c307h32SiGkd9BaeQWlAktfD3KO8/edit?usp=sharing"",""เพชรบูรณ์!I183"")+IMPORTRANGE(""https://docs.google.com/spreadsheets/d/1lOVebEIsI9qjGXl6EX66luk7wiuP2tBaryw-wKvv4e0/edit?usp=sharing"",""แพร่!I183"")+IMPORTRANGE(""https://docs.google.com/spreadshe"&amp;"ets/d/1dQrvX0vEcN7Gu0fnZ0B5S90AeR19zth4XlExFBeExMY/edit?usp=sharing"",""แม่ฮ่องสอน!I183"")+IMPORTRANGE(""https://docs.google.com/spreadsheets/d/1DY4XTNNwjluuxqdfdn6qvOSlMRrZqUtmYcZR0ttFiG4/edit?usp=sharing"",""ลำปาง!I183"")+IMPORTRANGE(""https://docs.goog"&amp;"le.com/spreadsheets/d/1ICwG78r0OFT8biBlxnBF8r7she7gNSzOvJ958PWT09c/edit?usp=sharing"",""ลำพูน!I183"")+IMPORTRANGE(""https://docs.google.com/spreadsheets/d/1B0f2xJpZUC6Z0xXnqKlZtEPzsf6L84eP1r1Q15seqRM/edit?usp=sharing"",""สุโขทัย!I183"")+IMPORTRANGE(""http"&amp;"s://docs.google.com/spreadsheets/d/1v0b9pFQCsKUVExMei7AgY2yQkdeNQvtOssygGsXbiKo/edit?usp=sharing"",""อุตรดิตถ์!I183"")+IMPORTRANGE(""https://docs.google.com/spreadsheets/d/1UsNK1e-WWiCo2PvGqdNfdme4m17_Ezd3J69EeeiQPD0/edit?usp=sharing"",""อุทัยธานี!I183"")"),119)</f>
        <v>119</v>
      </c>
      <c r="J183" s="181">
        <f ca="1">IFERROR(__xludf.DUMMYFUNCTION("IMPORTRANGE(""https://docs.google.com/spreadsheets/d/1jTcq05yEiRwXcBMLjiodW9e4biSGYWAHcDj22rKWQ3s/edit?usp=sharing"",""กำแพงเพชร!J183"")+IMPORTRANGE(""https://docs.google.com/spreadsheets/d/1KS0zmDSZPk8KnTAbGN-Xk6MtX1YRZD0ldgdt20K4CRk/edit?usp=sharing"","&amp;"""เชียงราย!J183"")+IMPORTRANGE(""https://docs.google.com/spreadsheets/d/1rEDxBtusbi64tE0zunoIbsTVV16HeL0oJ6trHQeQ7K8/edit?usp=sharing"",""เชียงใหม่!J183"")+IMPORTRANGE(""https://docs.google.com/spreadsheets/d/1W6MnUbDkMi6xHnHko_XkFDO9kkuL6Wqyc-6OCDFjW9I/e"&amp;"dit?usp=sharing"",""ตาก!J183"")+IMPORTRANGE(""https://docs.google.com/spreadsheets/d/1IQAWArduLkta9LpYo4a_ULsyqdta6-6aDDiwpUnQT6c/edit?usp=sharing"",""นครสวรรค์!J183"")+IMPORTRANGE(""https://docs.google.com/spreadsheets/d/10s13Sk5xrltsiR-Zkbmk5DwIaDIKO8Xl"&amp;"bJAfqyT7Gvg/edit?usp=sharing"",""น่าน!J183"")+IMPORTRANGE(""https://docs.google.com/spreadsheets/d/1uu4nAn4Dbi1XREnLKKotUANlKXa7yCgRcgq8HEzQYW8/edit?usp=sharing"",""พะเยา!J183"")+IMPORTRANGE(""https://docs.google.com/spreadsheets/d/1xfJKIQxVOaPDIICqsflNlL"&amp;"u3JacTDk1FP9RH4phX7mI/edit?usp=sharing"",""พิจิตร!J183"")+IMPORTRANGE(""https://docs.google.com/spreadsheets/d/1JtRfZkJMHtEhI5RdRHxYUG4FIZHqKDpNyIuN7A1Q0_k/edit?usp=sharing"",""พิษณุโลก!J183"")+IMPORTRANGE(""https://docs.google.com/spreadsheets/d/1xlcVZWU"&amp;"Nn6SuWm0c307h32SiGkd9BaeQWlAktfD3KO8/edit?usp=sharing"",""เพชรบูรณ์!J183"")+IMPORTRANGE(""https://docs.google.com/spreadsheets/d/1lOVebEIsI9qjGXl6EX66luk7wiuP2tBaryw-wKvv4e0/edit?usp=sharing"",""แพร่!J183"")+IMPORTRANGE(""https://docs.google.com/spreadshe"&amp;"ets/d/1dQrvX0vEcN7Gu0fnZ0B5S90AeR19zth4XlExFBeExMY/edit?usp=sharing"",""แม่ฮ่องสอน!J183"")+IMPORTRANGE(""https://docs.google.com/spreadsheets/d/1DY4XTNNwjluuxqdfdn6qvOSlMRrZqUtmYcZR0ttFiG4/edit?usp=sharing"",""ลำปาง!J183"")+IMPORTRANGE(""https://docs.goog"&amp;"le.com/spreadsheets/d/1ICwG78r0OFT8biBlxnBF8r7she7gNSzOvJ958PWT09c/edit?usp=sharing"",""ลำพูน!J183"")+IMPORTRANGE(""https://docs.google.com/spreadsheets/d/1B0f2xJpZUC6Z0xXnqKlZtEPzsf6L84eP1r1Q15seqRM/edit?usp=sharing"",""สุโขทัย!J183"")+IMPORTRANGE(""http"&amp;"s://docs.google.com/spreadsheets/d/1v0b9pFQCsKUVExMei7AgY2yQkdeNQvtOssygGsXbiKo/edit?usp=sharing"",""อุตรดิตถ์!J183"")+IMPORTRANGE(""https://docs.google.com/spreadsheets/d/1UsNK1e-WWiCo2PvGqdNfdme4m17_Ezd3J69EeeiQPD0/edit?usp=sharing"",""อุทัยธานี!J183"")"),35)</f>
        <v>35</v>
      </c>
      <c r="K183" s="59">
        <f t="shared" ref="K183:K185" ca="1" si="92">IF(I183&gt;0,J183*100/I183,0)</f>
        <v>29.411764705882351</v>
      </c>
      <c r="L183" s="58"/>
      <c r="M183" s="58"/>
      <c r="N183" s="58"/>
      <c r="O183" s="58"/>
      <c r="P183" s="58"/>
    </row>
    <row r="184" spans="1:16" ht="18.75" x14ac:dyDescent="0.25">
      <c r="A184" s="274"/>
      <c r="B184" s="278"/>
      <c r="C184" s="275"/>
      <c r="D184" s="276" t="s">
        <v>70</v>
      </c>
      <c r="E184" s="53"/>
      <c r="F184" s="53"/>
      <c r="G184" s="55"/>
      <c r="H184" s="277" t="s">
        <v>33</v>
      </c>
      <c r="I184" s="181">
        <v>0</v>
      </c>
      <c r="J184" s="181">
        <v>0</v>
      </c>
      <c r="K184" s="59">
        <f t="shared" si="92"/>
        <v>0</v>
      </c>
      <c r="L184" s="58"/>
      <c r="M184" s="58"/>
      <c r="N184" s="58"/>
      <c r="O184" s="58"/>
      <c r="P184" s="58"/>
    </row>
    <row r="185" spans="1:16" ht="19.5" x14ac:dyDescent="0.3">
      <c r="A185" s="267"/>
      <c r="B185" s="268" t="s">
        <v>71</v>
      </c>
      <c r="C185" s="269"/>
      <c r="D185" s="170"/>
      <c r="E185" s="170"/>
      <c r="F185" s="170"/>
      <c r="G185" s="171"/>
      <c r="H185" s="270" t="s">
        <v>33</v>
      </c>
      <c r="I185" s="271">
        <f t="shared" ref="I185:J185" ca="1" si="93">I230+I231</f>
        <v>0</v>
      </c>
      <c r="J185" s="271">
        <f t="shared" ca="1" si="93"/>
        <v>0</v>
      </c>
      <c r="K185" s="272">
        <f t="shared" ca="1" si="92"/>
        <v>0</v>
      </c>
      <c r="L185" s="273"/>
      <c r="M185" s="273"/>
      <c r="N185" s="273"/>
      <c r="O185" s="273"/>
      <c r="P185" s="273"/>
    </row>
    <row r="186" spans="1:16" ht="19.5" x14ac:dyDescent="0.3">
      <c r="A186" s="157"/>
      <c r="B186" s="53"/>
      <c r="C186" s="158" t="s">
        <v>16</v>
      </c>
      <c r="D186" s="159" t="s">
        <v>17</v>
      </c>
      <c r="E186" s="53"/>
      <c r="F186" s="53"/>
      <c r="G186" s="55"/>
      <c r="H186" s="160" t="s">
        <v>12</v>
      </c>
      <c r="I186" s="57"/>
      <c r="J186" s="57"/>
      <c r="K186" s="58"/>
      <c r="L186" s="161">
        <f t="shared" ref="L186:N186" ca="1" si="94">L187+L188</f>
        <v>3628200</v>
      </c>
      <c r="M186" s="161">
        <f t="shared" ca="1" si="94"/>
        <v>2637400</v>
      </c>
      <c r="N186" s="161">
        <f t="shared" ca="1" si="94"/>
        <v>586805.34</v>
      </c>
      <c r="O186" s="161">
        <f t="shared" ref="O186:O194" ca="1" si="95">IF(L186&gt;0,N186*100/L186,0)</f>
        <v>16.173456259302132</v>
      </c>
      <c r="P186" s="161">
        <f t="shared" ref="P186:P194" ca="1" si="96">IF(M186&gt;0,N186*100/M186,0)</f>
        <v>22.249387275346933</v>
      </c>
    </row>
    <row r="187" spans="1:16" ht="18.75" x14ac:dyDescent="0.25">
      <c r="A187" s="157"/>
      <c r="B187" s="53"/>
      <c r="C187" s="53"/>
      <c r="D187" s="53"/>
      <c r="E187" s="60" t="s">
        <v>18</v>
      </c>
      <c r="F187" s="53"/>
      <c r="G187" s="55"/>
      <c r="H187" s="162" t="s">
        <v>12</v>
      </c>
      <c r="I187" s="57"/>
      <c r="J187" s="57"/>
      <c r="K187" s="58"/>
      <c r="L187" s="59">
        <f t="shared" ref="L187:N187" ca="1" si="97">L190+L193</f>
        <v>0</v>
      </c>
      <c r="M187" s="59">
        <f t="shared" ca="1" si="97"/>
        <v>0</v>
      </c>
      <c r="N187" s="59">
        <f t="shared" ca="1" si="97"/>
        <v>0</v>
      </c>
      <c r="O187" s="59">
        <f t="shared" ca="1" si="95"/>
        <v>0</v>
      </c>
      <c r="P187" s="59">
        <f t="shared" ca="1" si="96"/>
        <v>0</v>
      </c>
    </row>
    <row r="188" spans="1:16" ht="18.75" x14ac:dyDescent="0.25">
      <c r="A188" s="157"/>
      <c r="B188" s="53"/>
      <c r="C188" s="53"/>
      <c r="D188" s="53"/>
      <c r="E188" s="60" t="s">
        <v>19</v>
      </c>
      <c r="F188" s="53"/>
      <c r="G188" s="55"/>
      <c r="H188" s="162" t="s">
        <v>12</v>
      </c>
      <c r="I188" s="57"/>
      <c r="J188" s="57"/>
      <c r="K188" s="58"/>
      <c r="L188" s="59">
        <f t="shared" ref="L188:N188" ca="1" si="98">L191+L194</f>
        <v>3628200</v>
      </c>
      <c r="M188" s="59">
        <f t="shared" ca="1" si="98"/>
        <v>2637400</v>
      </c>
      <c r="N188" s="59">
        <f t="shared" ca="1" si="98"/>
        <v>586805.34</v>
      </c>
      <c r="O188" s="59">
        <f t="shared" ca="1" si="95"/>
        <v>16.173456259302132</v>
      </c>
      <c r="P188" s="59">
        <f t="shared" ca="1" si="96"/>
        <v>22.249387275346933</v>
      </c>
    </row>
    <row r="189" spans="1:16" ht="18.75" x14ac:dyDescent="0.25">
      <c r="A189" s="157"/>
      <c r="B189" s="53"/>
      <c r="C189" s="53"/>
      <c r="D189" s="54" t="s">
        <v>20</v>
      </c>
      <c r="E189" s="53"/>
      <c r="F189" s="53"/>
      <c r="G189" s="55"/>
      <c r="H189" s="163" t="s">
        <v>12</v>
      </c>
      <c r="I189" s="164"/>
      <c r="J189" s="164"/>
      <c r="K189" s="165"/>
      <c r="L189" s="59">
        <f t="shared" ref="L189:N189" ca="1" si="99">L190+L191</f>
        <v>3628200</v>
      </c>
      <c r="M189" s="59">
        <f t="shared" ca="1" si="99"/>
        <v>2637400</v>
      </c>
      <c r="N189" s="59">
        <f t="shared" ca="1" si="99"/>
        <v>586805.34</v>
      </c>
      <c r="O189" s="59">
        <f t="shared" ca="1" si="95"/>
        <v>16.173456259302132</v>
      </c>
      <c r="P189" s="59">
        <f t="shared" ca="1" si="96"/>
        <v>22.249387275346933</v>
      </c>
    </row>
    <row r="190" spans="1:16" ht="18.75" x14ac:dyDescent="0.25">
      <c r="A190" s="157"/>
      <c r="B190" s="53"/>
      <c r="C190" s="53"/>
      <c r="D190" s="53"/>
      <c r="E190" s="60" t="s">
        <v>34</v>
      </c>
      <c r="F190" s="53"/>
      <c r="G190" s="55"/>
      <c r="H190" s="163" t="s">
        <v>12</v>
      </c>
      <c r="I190" s="164"/>
      <c r="J190" s="164"/>
      <c r="K190" s="165"/>
      <c r="L190" s="59">
        <f ca="1">IFERROR(__xludf.DUMMYFUNCTION("IMPORTRANGE(""https://docs.google.com/spreadsheets/d/1jTcq05yEiRwXcBMLjiodW9e4biSGYWAHcDj22rKWQ3s/edit?usp=sharing"",""กำแพงเพชร!L190"")+IMPORTRANGE(""https://docs.google.com/spreadsheets/d/1KS0zmDSZPk8KnTAbGN-Xk6MtX1YRZD0ldgdt20K4CRk/edit?usp=sharing"","&amp;"""เชียงราย!L190"")+IMPORTRANGE(""https://docs.google.com/spreadsheets/d/1rEDxBtusbi64tE0zunoIbsTVV16HeL0oJ6trHQeQ7K8/edit?usp=sharing"",""เชียงใหม่!L190"")+IMPORTRANGE(""https://docs.google.com/spreadsheets/d/1W6MnUbDkMi6xHnHko_XkFDO9kkuL6Wqyc-6OCDFjW9I/e"&amp;"dit?usp=sharing"",""ตาก!L190"")+IMPORTRANGE(""https://docs.google.com/spreadsheets/d/1IQAWArduLkta9LpYo4a_ULsyqdta6-6aDDiwpUnQT6c/edit?usp=sharing"",""นครสวรรค์!L190"")+IMPORTRANGE(""https://docs.google.com/spreadsheets/d/10s13Sk5xrltsiR-Zkbmk5DwIaDIKO8Xl"&amp;"bJAfqyT7Gvg/edit?usp=sharing"",""น่าน!L190"")+IMPORTRANGE(""https://docs.google.com/spreadsheets/d/1uu4nAn4Dbi1XREnLKKotUANlKXa7yCgRcgq8HEzQYW8/edit?usp=sharing"",""พะเยา!L190"")+IMPORTRANGE(""https://docs.google.com/spreadsheets/d/1xfJKIQxVOaPDIICqsflNlL"&amp;"u3JacTDk1FP9RH4phX7mI/edit?usp=sharing"",""พิจิตร!L190"")+IMPORTRANGE(""https://docs.google.com/spreadsheets/d/1JtRfZkJMHtEhI5RdRHxYUG4FIZHqKDpNyIuN7A1Q0_k/edit?usp=sharing"",""พิษณุโลก!L190"")+IMPORTRANGE(""https://docs.google.com/spreadsheets/d/1xlcVZWU"&amp;"Nn6SuWm0c307h32SiGkd9BaeQWlAktfD3KO8/edit?usp=sharing"",""เพชรบูรณ์!L190"")+IMPORTRANGE(""https://docs.google.com/spreadsheets/d/1lOVebEIsI9qjGXl6EX66luk7wiuP2tBaryw-wKvv4e0/edit?usp=sharing"",""แพร่!L190"")+IMPORTRANGE(""https://docs.google.com/spreadshe"&amp;"ets/d/1dQrvX0vEcN7Gu0fnZ0B5S90AeR19zth4XlExFBeExMY/edit?usp=sharing"",""แม่ฮ่องสอน!L190"")+IMPORTRANGE(""https://docs.google.com/spreadsheets/d/1DY4XTNNwjluuxqdfdn6qvOSlMRrZqUtmYcZR0ttFiG4/edit?usp=sharing"",""ลำปาง!L190"")+IMPORTRANGE(""https://docs.goog"&amp;"le.com/spreadsheets/d/1ICwG78r0OFT8biBlxnBF8r7she7gNSzOvJ958PWT09c/edit?usp=sharing"",""ลำพูน!L190"")+IMPORTRANGE(""https://docs.google.com/spreadsheets/d/1B0f2xJpZUC6Z0xXnqKlZtEPzsf6L84eP1r1Q15seqRM/edit?usp=sharing"",""สุโขทัย!L190"")+IMPORTRANGE(""http"&amp;"s://docs.google.com/spreadsheets/d/1v0b9pFQCsKUVExMei7AgY2yQkdeNQvtOssygGsXbiKo/edit?usp=sharing"",""อุตรดิตถ์!L190"")+IMPORTRANGE(""https://docs.google.com/spreadsheets/d/1UsNK1e-WWiCo2PvGqdNfdme4m17_Ezd3J69EeeiQPD0/edit?usp=sharing"",""อุทัยธานี!L190"")"),0)</f>
        <v>0</v>
      </c>
      <c r="M190" s="59">
        <f ca="1">IFERROR(__xludf.DUMMYFUNCTION("IMPORTRANGE(""https://docs.google.com/spreadsheets/d/1jTcq05yEiRwXcBMLjiodW9e4biSGYWAHcDj22rKWQ3s/edit?usp=sharing"",""กำแพงเพชร!M190"")+IMPORTRANGE(""https://docs.google.com/spreadsheets/d/1KS0zmDSZPk8KnTAbGN-Xk6MtX1YRZD0ldgdt20K4CRk/edit?usp=sharing"","&amp;"""เชียงราย!M190"")+IMPORTRANGE(""https://docs.google.com/spreadsheets/d/1rEDxBtusbi64tE0zunoIbsTVV16HeL0oJ6trHQeQ7K8/edit?usp=sharing"",""เชียงใหม่!M190"")+IMPORTRANGE(""https://docs.google.com/spreadsheets/d/1W6MnUbDkMi6xHnHko_XkFDO9kkuL6Wqyc-6OCDFjW9I/e"&amp;"dit?usp=sharing"",""ตาก!M190"")+IMPORTRANGE(""https://docs.google.com/spreadsheets/d/1IQAWArduLkta9LpYo4a_ULsyqdta6-6aDDiwpUnQT6c/edit?usp=sharing"",""นครสวรรค์!M190"")+IMPORTRANGE(""https://docs.google.com/spreadsheets/d/10s13Sk5xrltsiR-Zkbmk5DwIaDIKO8Xl"&amp;"bJAfqyT7Gvg/edit?usp=sharing"",""น่าน!M190"")+IMPORTRANGE(""https://docs.google.com/spreadsheets/d/1uu4nAn4Dbi1XREnLKKotUANlKXa7yCgRcgq8HEzQYW8/edit?usp=sharing"",""พะเยา!M190"")+IMPORTRANGE(""https://docs.google.com/spreadsheets/d/1xfJKIQxVOaPDIICqsflNlL"&amp;"u3JacTDk1FP9RH4phX7mI/edit?usp=sharing"",""พิจิตร!M190"")+IMPORTRANGE(""https://docs.google.com/spreadsheets/d/1JtRfZkJMHtEhI5RdRHxYUG4FIZHqKDpNyIuN7A1Q0_k/edit?usp=sharing"",""พิษณุโลก!M190"")+IMPORTRANGE(""https://docs.google.com/spreadsheets/d/1xlcVZWU"&amp;"Nn6SuWm0c307h32SiGkd9BaeQWlAktfD3KO8/edit?usp=sharing"",""เพชรบูรณ์!M190"")+IMPORTRANGE(""https://docs.google.com/spreadsheets/d/1lOVebEIsI9qjGXl6EX66luk7wiuP2tBaryw-wKvv4e0/edit?usp=sharing"",""แพร่!M190"")+IMPORTRANGE(""https://docs.google.com/spreadshe"&amp;"ets/d/1dQrvX0vEcN7Gu0fnZ0B5S90AeR19zth4XlExFBeExMY/edit?usp=sharing"",""แม่ฮ่องสอน!M190"")+IMPORTRANGE(""https://docs.google.com/spreadsheets/d/1DY4XTNNwjluuxqdfdn6qvOSlMRrZqUtmYcZR0ttFiG4/edit?usp=sharing"",""ลำปาง!M190"")+IMPORTRANGE(""https://docs.goog"&amp;"le.com/spreadsheets/d/1ICwG78r0OFT8biBlxnBF8r7she7gNSzOvJ958PWT09c/edit?usp=sharing"",""ลำพูน!M190"")+IMPORTRANGE(""https://docs.google.com/spreadsheets/d/1B0f2xJpZUC6Z0xXnqKlZtEPzsf6L84eP1r1Q15seqRM/edit?usp=sharing"",""สุโขทัย!M190"")+IMPORTRANGE(""http"&amp;"s://docs.google.com/spreadsheets/d/1v0b9pFQCsKUVExMei7AgY2yQkdeNQvtOssygGsXbiKo/edit?usp=sharing"",""อุตรดิตถ์!M190"")+IMPORTRANGE(""https://docs.google.com/spreadsheets/d/1UsNK1e-WWiCo2PvGqdNfdme4m17_Ezd3J69EeeiQPD0/edit?usp=sharing"",""อุทัยธานี!M190"")"),0)</f>
        <v>0</v>
      </c>
      <c r="N190" s="59">
        <f ca="1">IFERROR(__xludf.DUMMYFUNCTION("IMPORTRANGE(""https://docs.google.com/spreadsheets/d/1jTcq05yEiRwXcBMLjiodW9e4biSGYWAHcDj22rKWQ3s/edit?usp=sharing"",""กำแพงเพชร!N190"")+IMPORTRANGE(""https://docs.google.com/spreadsheets/d/1KS0zmDSZPk8KnTAbGN-Xk6MtX1YRZD0ldgdt20K4CRk/edit?usp=sharing"","&amp;"""เชียงราย!N190"")+IMPORTRANGE(""https://docs.google.com/spreadsheets/d/1rEDxBtusbi64tE0zunoIbsTVV16HeL0oJ6trHQeQ7K8/edit?usp=sharing"",""เชียงใหม่!N190"")+IMPORTRANGE(""https://docs.google.com/spreadsheets/d/1W6MnUbDkMi6xHnHko_XkFDO9kkuL6Wqyc-6OCDFjW9I/e"&amp;"dit?usp=sharing"",""ตาก!N190"")+IMPORTRANGE(""https://docs.google.com/spreadsheets/d/1IQAWArduLkta9LpYo4a_ULsyqdta6-6aDDiwpUnQT6c/edit?usp=sharing"",""นครสวรรค์!N190"")+IMPORTRANGE(""https://docs.google.com/spreadsheets/d/10s13Sk5xrltsiR-Zkbmk5DwIaDIKO8Xl"&amp;"bJAfqyT7Gvg/edit?usp=sharing"",""น่าน!N190"")+IMPORTRANGE(""https://docs.google.com/spreadsheets/d/1uu4nAn4Dbi1XREnLKKotUANlKXa7yCgRcgq8HEzQYW8/edit?usp=sharing"",""พะเยา!N190"")+IMPORTRANGE(""https://docs.google.com/spreadsheets/d/1xfJKIQxVOaPDIICqsflNlL"&amp;"u3JacTDk1FP9RH4phX7mI/edit?usp=sharing"",""พิจิตร!N190"")+IMPORTRANGE(""https://docs.google.com/spreadsheets/d/1JtRfZkJMHtEhI5RdRHxYUG4FIZHqKDpNyIuN7A1Q0_k/edit?usp=sharing"",""พิษณุโลก!N190"")+IMPORTRANGE(""https://docs.google.com/spreadsheets/d/1xlcVZWU"&amp;"Nn6SuWm0c307h32SiGkd9BaeQWlAktfD3KO8/edit?usp=sharing"",""เพชรบูรณ์!N190"")+IMPORTRANGE(""https://docs.google.com/spreadsheets/d/1lOVebEIsI9qjGXl6EX66luk7wiuP2tBaryw-wKvv4e0/edit?usp=sharing"",""แพร่!N190"")+IMPORTRANGE(""https://docs.google.com/spreadshe"&amp;"ets/d/1dQrvX0vEcN7Gu0fnZ0B5S90AeR19zth4XlExFBeExMY/edit?usp=sharing"",""แม่ฮ่องสอน!N190"")+IMPORTRANGE(""https://docs.google.com/spreadsheets/d/1DY4XTNNwjluuxqdfdn6qvOSlMRrZqUtmYcZR0ttFiG4/edit?usp=sharing"",""ลำปาง!N190"")+IMPORTRANGE(""https://docs.goog"&amp;"le.com/spreadsheets/d/1ICwG78r0OFT8biBlxnBF8r7she7gNSzOvJ958PWT09c/edit?usp=sharing"",""ลำพูน!N190"")+IMPORTRANGE(""https://docs.google.com/spreadsheets/d/1B0f2xJpZUC6Z0xXnqKlZtEPzsf6L84eP1r1Q15seqRM/edit?usp=sharing"",""สุโขทัย!N190"")+IMPORTRANGE(""http"&amp;"s://docs.google.com/spreadsheets/d/1v0b9pFQCsKUVExMei7AgY2yQkdeNQvtOssygGsXbiKo/edit?usp=sharing"",""อุตรดิตถ์!N190"")+IMPORTRANGE(""https://docs.google.com/spreadsheets/d/1UsNK1e-WWiCo2PvGqdNfdme4m17_Ezd3J69EeeiQPD0/edit?usp=sharing"",""อุทัยธานี!N190"")"),0)</f>
        <v>0</v>
      </c>
      <c r="O190" s="59">
        <f t="shared" ca="1" si="95"/>
        <v>0</v>
      </c>
      <c r="P190" s="59">
        <f t="shared" ca="1" si="96"/>
        <v>0</v>
      </c>
    </row>
    <row r="191" spans="1:16" ht="18.75" x14ac:dyDescent="0.25">
      <c r="A191" s="157"/>
      <c r="B191" s="53"/>
      <c r="C191" s="53"/>
      <c r="D191" s="53"/>
      <c r="E191" s="60" t="s">
        <v>35</v>
      </c>
      <c r="F191" s="53"/>
      <c r="G191" s="55"/>
      <c r="H191" s="163" t="s">
        <v>12</v>
      </c>
      <c r="I191" s="164"/>
      <c r="J191" s="164"/>
      <c r="K191" s="165"/>
      <c r="L191" s="59">
        <f ca="1">IFERROR(__xludf.DUMMYFUNCTION("IMPORTRANGE(""https://docs.google.com/spreadsheets/d/1jTcq05yEiRwXcBMLjiodW9e4biSGYWAHcDj22rKWQ3s/edit?usp=sharing"",""กำแพงเพชร!L191"")+IMPORTRANGE(""https://docs.google.com/spreadsheets/d/1KS0zmDSZPk8KnTAbGN-Xk6MtX1YRZD0ldgdt20K4CRk/edit?usp=sharing"","&amp;"""เชียงราย!L191"")+IMPORTRANGE(""https://docs.google.com/spreadsheets/d/1rEDxBtusbi64tE0zunoIbsTVV16HeL0oJ6trHQeQ7K8/edit?usp=sharing"",""เชียงใหม่!L191"")+IMPORTRANGE(""https://docs.google.com/spreadsheets/d/1W6MnUbDkMi6xHnHko_XkFDO9kkuL6Wqyc-6OCDFjW9I/e"&amp;"dit?usp=sharing"",""ตาก!L191"")+IMPORTRANGE(""https://docs.google.com/spreadsheets/d/1IQAWArduLkta9LpYo4a_ULsyqdta6-6aDDiwpUnQT6c/edit?usp=sharing"",""นครสวรรค์!L191"")+IMPORTRANGE(""https://docs.google.com/spreadsheets/d/10s13Sk5xrltsiR-Zkbmk5DwIaDIKO8Xl"&amp;"bJAfqyT7Gvg/edit?usp=sharing"",""น่าน!L191"")+IMPORTRANGE(""https://docs.google.com/spreadsheets/d/1uu4nAn4Dbi1XREnLKKotUANlKXa7yCgRcgq8HEzQYW8/edit?usp=sharing"",""พะเยา!L191"")+IMPORTRANGE(""https://docs.google.com/spreadsheets/d/1xfJKIQxVOaPDIICqsflNlL"&amp;"u3JacTDk1FP9RH4phX7mI/edit?usp=sharing"",""พิจิตร!L191"")+IMPORTRANGE(""https://docs.google.com/spreadsheets/d/1JtRfZkJMHtEhI5RdRHxYUG4FIZHqKDpNyIuN7A1Q0_k/edit?usp=sharing"",""พิษณุโลก!L191"")+IMPORTRANGE(""https://docs.google.com/spreadsheets/d/1xlcVZWU"&amp;"Nn6SuWm0c307h32SiGkd9BaeQWlAktfD3KO8/edit?usp=sharing"",""เพชรบูรณ์!L191"")+IMPORTRANGE(""https://docs.google.com/spreadsheets/d/1lOVebEIsI9qjGXl6EX66luk7wiuP2tBaryw-wKvv4e0/edit?usp=sharing"",""แพร่!L191"")+IMPORTRANGE(""https://docs.google.com/spreadshe"&amp;"ets/d/1dQrvX0vEcN7Gu0fnZ0B5S90AeR19zth4XlExFBeExMY/edit?usp=sharing"",""แม่ฮ่องสอน!L191"")+IMPORTRANGE(""https://docs.google.com/spreadsheets/d/1DY4XTNNwjluuxqdfdn6qvOSlMRrZqUtmYcZR0ttFiG4/edit?usp=sharing"",""ลำปาง!L191"")+IMPORTRANGE(""https://docs.goog"&amp;"le.com/spreadsheets/d/1ICwG78r0OFT8biBlxnBF8r7she7gNSzOvJ958PWT09c/edit?usp=sharing"",""ลำพูน!L191"")+IMPORTRANGE(""https://docs.google.com/spreadsheets/d/1B0f2xJpZUC6Z0xXnqKlZtEPzsf6L84eP1r1Q15seqRM/edit?usp=sharing"",""สุโขทัย!L191"")+IMPORTRANGE(""http"&amp;"s://docs.google.com/spreadsheets/d/1v0b9pFQCsKUVExMei7AgY2yQkdeNQvtOssygGsXbiKo/edit?usp=sharing"",""อุตรดิตถ์!L191"")+IMPORTRANGE(""https://docs.google.com/spreadsheets/d/1UsNK1e-WWiCo2PvGqdNfdme4m17_Ezd3J69EeeiQPD0/edit?usp=sharing"",""อุทัยธานี!L191"")"),3628200)</f>
        <v>3628200</v>
      </c>
      <c r="M191" s="59">
        <f ca="1">IFERROR(__xludf.DUMMYFUNCTION("IMPORTRANGE(""https://docs.google.com/spreadsheets/d/1jTcq05yEiRwXcBMLjiodW9e4biSGYWAHcDj22rKWQ3s/edit?usp=sharing"",""กำแพงเพชร!M191"")+IMPORTRANGE(""https://docs.google.com/spreadsheets/d/1KS0zmDSZPk8KnTAbGN-Xk6MtX1YRZD0ldgdt20K4CRk/edit?usp=sharing"","&amp;"""เชียงราย!M191"")+IMPORTRANGE(""https://docs.google.com/spreadsheets/d/1rEDxBtusbi64tE0zunoIbsTVV16HeL0oJ6trHQeQ7K8/edit?usp=sharing"",""เชียงใหม่!M191"")+IMPORTRANGE(""https://docs.google.com/spreadsheets/d/1W6MnUbDkMi6xHnHko_XkFDO9kkuL6Wqyc-6OCDFjW9I/e"&amp;"dit?usp=sharing"",""ตาก!M191"")+IMPORTRANGE(""https://docs.google.com/spreadsheets/d/1IQAWArduLkta9LpYo4a_ULsyqdta6-6aDDiwpUnQT6c/edit?usp=sharing"",""นครสวรรค์!M191"")+IMPORTRANGE(""https://docs.google.com/spreadsheets/d/10s13Sk5xrltsiR-Zkbmk5DwIaDIKO8Xl"&amp;"bJAfqyT7Gvg/edit?usp=sharing"",""น่าน!M191"")+IMPORTRANGE(""https://docs.google.com/spreadsheets/d/1uu4nAn4Dbi1XREnLKKotUANlKXa7yCgRcgq8HEzQYW8/edit?usp=sharing"",""พะเยา!M191"")+IMPORTRANGE(""https://docs.google.com/spreadsheets/d/1xfJKIQxVOaPDIICqsflNlL"&amp;"u3JacTDk1FP9RH4phX7mI/edit?usp=sharing"",""พิจิตร!M191"")+IMPORTRANGE(""https://docs.google.com/spreadsheets/d/1JtRfZkJMHtEhI5RdRHxYUG4FIZHqKDpNyIuN7A1Q0_k/edit?usp=sharing"",""พิษณุโลก!M191"")+IMPORTRANGE(""https://docs.google.com/spreadsheets/d/1xlcVZWU"&amp;"Nn6SuWm0c307h32SiGkd9BaeQWlAktfD3KO8/edit?usp=sharing"",""เพชรบูรณ์!M191"")+IMPORTRANGE(""https://docs.google.com/spreadsheets/d/1lOVebEIsI9qjGXl6EX66luk7wiuP2tBaryw-wKvv4e0/edit?usp=sharing"",""แพร่!M191"")+IMPORTRANGE(""https://docs.google.com/spreadshe"&amp;"ets/d/1dQrvX0vEcN7Gu0fnZ0B5S90AeR19zth4XlExFBeExMY/edit?usp=sharing"",""แม่ฮ่องสอน!M191"")+IMPORTRANGE(""https://docs.google.com/spreadsheets/d/1DY4XTNNwjluuxqdfdn6qvOSlMRrZqUtmYcZR0ttFiG4/edit?usp=sharing"",""ลำปาง!M191"")+IMPORTRANGE(""https://docs.goog"&amp;"le.com/spreadsheets/d/1ICwG78r0OFT8biBlxnBF8r7she7gNSzOvJ958PWT09c/edit?usp=sharing"",""ลำพูน!M191"")+IMPORTRANGE(""https://docs.google.com/spreadsheets/d/1B0f2xJpZUC6Z0xXnqKlZtEPzsf6L84eP1r1Q15seqRM/edit?usp=sharing"",""สุโขทัย!M191"")+IMPORTRANGE(""http"&amp;"s://docs.google.com/spreadsheets/d/1v0b9pFQCsKUVExMei7AgY2yQkdeNQvtOssygGsXbiKo/edit?usp=sharing"",""อุตรดิตถ์!M191"")+IMPORTRANGE(""https://docs.google.com/spreadsheets/d/1UsNK1e-WWiCo2PvGqdNfdme4m17_Ezd3J69EeeiQPD0/edit?usp=sharing"",""อุทัยธานี!M191"")"),2637400)</f>
        <v>2637400</v>
      </c>
      <c r="N191" s="59">
        <f ca="1">IFERROR(__xludf.DUMMYFUNCTION("IMPORTRANGE(""https://docs.google.com/spreadsheets/d/1jTcq05yEiRwXcBMLjiodW9e4biSGYWAHcDj22rKWQ3s/edit?usp=sharing"",""กำแพงเพชร!N191"")+IMPORTRANGE(""https://docs.google.com/spreadsheets/d/1KS0zmDSZPk8KnTAbGN-Xk6MtX1YRZD0ldgdt20K4CRk/edit?usp=sharing"","&amp;"""เชียงราย!N191"")+IMPORTRANGE(""https://docs.google.com/spreadsheets/d/1rEDxBtusbi64tE0zunoIbsTVV16HeL0oJ6trHQeQ7K8/edit?usp=sharing"",""เชียงใหม่!N191"")+IMPORTRANGE(""https://docs.google.com/spreadsheets/d/1W6MnUbDkMi6xHnHko_XkFDO9kkuL6Wqyc-6OCDFjW9I/e"&amp;"dit?usp=sharing"",""ตาก!N191"")+IMPORTRANGE(""https://docs.google.com/spreadsheets/d/1IQAWArduLkta9LpYo4a_ULsyqdta6-6aDDiwpUnQT6c/edit?usp=sharing"",""นครสวรรค์!N191"")+IMPORTRANGE(""https://docs.google.com/spreadsheets/d/10s13Sk5xrltsiR-Zkbmk5DwIaDIKO8Xl"&amp;"bJAfqyT7Gvg/edit?usp=sharing"",""น่าน!N191"")+IMPORTRANGE(""https://docs.google.com/spreadsheets/d/1uu4nAn4Dbi1XREnLKKotUANlKXa7yCgRcgq8HEzQYW8/edit?usp=sharing"",""พะเยา!N191"")+IMPORTRANGE(""https://docs.google.com/spreadsheets/d/1xfJKIQxVOaPDIICqsflNlL"&amp;"u3JacTDk1FP9RH4phX7mI/edit?usp=sharing"",""พิจิตร!N191"")+IMPORTRANGE(""https://docs.google.com/spreadsheets/d/1JtRfZkJMHtEhI5RdRHxYUG4FIZHqKDpNyIuN7A1Q0_k/edit?usp=sharing"",""พิษณุโลก!N191"")+IMPORTRANGE(""https://docs.google.com/spreadsheets/d/1xlcVZWU"&amp;"Nn6SuWm0c307h32SiGkd9BaeQWlAktfD3KO8/edit?usp=sharing"",""เพชรบูรณ์!N191"")+IMPORTRANGE(""https://docs.google.com/spreadsheets/d/1lOVebEIsI9qjGXl6EX66luk7wiuP2tBaryw-wKvv4e0/edit?usp=sharing"",""แพร่!N191"")+IMPORTRANGE(""https://docs.google.com/spreadshe"&amp;"ets/d/1dQrvX0vEcN7Gu0fnZ0B5S90AeR19zth4XlExFBeExMY/edit?usp=sharing"",""แม่ฮ่องสอน!N191"")+IMPORTRANGE(""https://docs.google.com/spreadsheets/d/1DY4XTNNwjluuxqdfdn6qvOSlMRrZqUtmYcZR0ttFiG4/edit?usp=sharing"",""ลำปาง!N191"")+IMPORTRANGE(""https://docs.goog"&amp;"le.com/spreadsheets/d/1ICwG78r0OFT8biBlxnBF8r7she7gNSzOvJ958PWT09c/edit?usp=sharing"",""ลำพูน!N191"")+IMPORTRANGE(""https://docs.google.com/spreadsheets/d/1B0f2xJpZUC6Z0xXnqKlZtEPzsf6L84eP1r1Q15seqRM/edit?usp=sharing"",""สุโขทัย!N191"")+IMPORTRANGE(""http"&amp;"s://docs.google.com/spreadsheets/d/1v0b9pFQCsKUVExMei7AgY2yQkdeNQvtOssygGsXbiKo/edit?usp=sharing"",""อุตรดิตถ์!N191"")+IMPORTRANGE(""https://docs.google.com/spreadsheets/d/1UsNK1e-WWiCo2PvGqdNfdme4m17_Ezd3J69EeeiQPD0/edit?usp=sharing"",""อุทัยธานี!N191"")"),586805.34)</f>
        <v>586805.34</v>
      </c>
      <c r="O191" s="59">
        <f t="shared" ca="1" si="95"/>
        <v>16.173456259302132</v>
      </c>
      <c r="P191" s="59">
        <f t="shared" ca="1" si="96"/>
        <v>22.249387275346933</v>
      </c>
    </row>
    <row r="192" spans="1:16" ht="18.75" x14ac:dyDescent="0.25">
      <c r="A192" s="157"/>
      <c r="B192" s="53"/>
      <c r="C192" s="53"/>
      <c r="D192" s="54" t="s">
        <v>21</v>
      </c>
      <c r="E192" s="53"/>
      <c r="F192" s="53"/>
      <c r="G192" s="55"/>
      <c r="H192" s="166" t="s">
        <v>12</v>
      </c>
      <c r="I192" s="164"/>
      <c r="J192" s="164"/>
      <c r="K192" s="165"/>
      <c r="L192" s="59">
        <f t="shared" ref="L192:N192" ca="1" si="100">L193+L194</f>
        <v>0</v>
      </c>
      <c r="M192" s="59">
        <f t="shared" ca="1" si="100"/>
        <v>0</v>
      </c>
      <c r="N192" s="59">
        <f t="shared" ca="1" si="100"/>
        <v>0</v>
      </c>
      <c r="O192" s="59">
        <f t="shared" ca="1" si="95"/>
        <v>0</v>
      </c>
      <c r="P192" s="59">
        <f t="shared" ca="1" si="96"/>
        <v>0</v>
      </c>
    </row>
    <row r="193" spans="1:16" ht="18.75" x14ac:dyDescent="0.25">
      <c r="A193" s="157"/>
      <c r="B193" s="53"/>
      <c r="C193" s="53"/>
      <c r="D193" s="53"/>
      <c r="E193" s="60" t="s">
        <v>18</v>
      </c>
      <c r="F193" s="53"/>
      <c r="G193" s="55"/>
      <c r="H193" s="163" t="s">
        <v>12</v>
      </c>
      <c r="I193" s="164"/>
      <c r="J193" s="164"/>
      <c r="K193" s="165"/>
      <c r="L193" s="59">
        <f ca="1">IFERROR(__xludf.DUMMYFUNCTION("IMPORTRANGE(""https://docs.google.com/spreadsheets/d/1jTcq05yEiRwXcBMLjiodW9e4biSGYWAHcDj22rKWQ3s/edit?usp=sharing"",""กำแพงเพชร!L193"")+IMPORTRANGE(""https://docs.google.com/spreadsheets/d/1KS0zmDSZPk8KnTAbGN-Xk6MtX1YRZD0ldgdt20K4CRk/edit?usp=sharing"","&amp;"""เชียงราย!L193"")+IMPORTRANGE(""https://docs.google.com/spreadsheets/d/1rEDxBtusbi64tE0zunoIbsTVV16HeL0oJ6trHQeQ7K8/edit?usp=sharing"",""เชียงใหม่!L193"")+IMPORTRANGE(""https://docs.google.com/spreadsheets/d/1W6MnUbDkMi6xHnHko_XkFDO9kkuL6Wqyc-6OCDFjW9I/e"&amp;"dit?usp=sharing"",""ตาก!L193"")+IMPORTRANGE(""https://docs.google.com/spreadsheets/d/1IQAWArduLkta9LpYo4a_ULsyqdta6-6aDDiwpUnQT6c/edit?usp=sharing"",""นครสวรรค์!L193"")+IMPORTRANGE(""https://docs.google.com/spreadsheets/d/10s13Sk5xrltsiR-Zkbmk5DwIaDIKO8Xl"&amp;"bJAfqyT7Gvg/edit?usp=sharing"",""น่าน!L193"")+IMPORTRANGE(""https://docs.google.com/spreadsheets/d/1uu4nAn4Dbi1XREnLKKotUANlKXa7yCgRcgq8HEzQYW8/edit?usp=sharing"",""พะเยา!L193"")+IMPORTRANGE(""https://docs.google.com/spreadsheets/d/1xfJKIQxVOaPDIICqsflNlL"&amp;"u3JacTDk1FP9RH4phX7mI/edit?usp=sharing"",""พิจิตร!L193"")+IMPORTRANGE(""https://docs.google.com/spreadsheets/d/1JtRfZkJMHtEhI5RdRHxYUG4FIZHqKDpNyIuN7A1Q0_k/edit?usp=sharing"",""พิษณุโลก!L193"")+IMPORTRANGE(""https://docs.google.com/spreadsheets/d/1xlcVZWU"&amp;"Nn6SuWm0c307h32SiGkd9BaeQWlAktfD3KO8/edit?usp=sharing"",""เพชรบูรณ์!L193"")+IMPORTRANGE(""https://docs.google.com/spreadsheets/d/1lOVebEIsI9qjGXl6EX66luk7wiuP2tBaryw-wKvv4e0/edit?usp=sharing"",""แพร่!L193"")+IMPORTRANGE(""https://docs.google.com/spreadshe"&amp;"ets/d/1dQrvX0vEcN7Gu0fnZ0B5S90AeR19zth4XlExFBeExMY/edit?usp=sharing"",""แม่ฮ่องสอน!L193"")+IMPORTRANGE(""https://docs.google.com/spreadsheets/d/1DY4XTNNwjluuxqdfdn6qvOSlMRrZqUtmYcZR0ttFiG4/edit?usp=sharing"",""ลำปาง!L193"")+IMPORTRANGE(""https://docs.goog"&amp;"le.com/spreadsheets/d/1ICwG78r0OFT8biBlxnBF8r7she7gNSzOvJ958PWT09c/edit?usp=sharing"",""ลำพูน!L193"")+IMPORTRANGE(""https://docs.google.com/spreadsheets/d/1B0f2xJpZUC6Z0xXnqKlZtEPzsf6L84eP1r1Q15seqRM/edit?usp=sharing"",""สุโขทัย!L193"")+IMPORTRANGE(""http"&amp;"s://docs.google.com/spreadsheets/d/1v0b9pFQCsKUVExMei7AgY2yQkdeNQvtOssygGsXbiKo/edit?usp=sharing"",""อุตรดิตถ์!L193"")+IMPORTRANGE(""https://docs.google.com/spreadsheets/d/1UsNK1e-WWiCo2PvGqdNfdme4m17_Ezd3J69EeeiQPD0/edit?usp=sharing"",""อุทัยธานี!L193"")"),0)</f>
        <v>0</v>
      </c>
      <c r="M193" s="59">
        <f ca="1">IFERROR(__xludf.DUMMYFUNCTION("IMPORTRANGE(""https://docs.google.com/spreadsheets/d/1jTcq05yEiRwXcBMLjiodW9e4biSGYWAHcDj22rKWQ3s/edit?usp=sharing"",""กำแพงเพชร!M193"")+IMPORTRANGE(""https://docs.google.com/spreadsheets/d/1KS0zmDSZPk8KnTAbGN-Xk6MtX1YRZD0ldgdt20K4CRk/edit?usp=sharing"","&amp;"""เชียงราย!M193"")+IMPORTRANGE(""https://docs.google.com/spreadsheets/d/1rEDxBtusbi64tE0zunoIbsTVV16HeL0oJ6trHQeQ7K8/edit?usp=sharing"",""เชียงใหม่!M193"")+IMPORTRANGE(""https://docs.google.com/spreadsheets/d/1W6MnUbDkMi6xHnHko_XkFDO9kkuL6Wqyc-6OCDFjW9I/e"&amp;"dit?usp=sharing"",""ตาก!M193"")+IMPORTRANGE(""https://docs.google.com/spreadsheets/d/1IQAWArduLkta9LpYo4a_ULsyqdta6-6aDDiwpUnQT6c/edit?usp=sharing"",""นครสวรรค์!M193"")+IMPORTRANGE(""https://docs.google.com/spreadsheets/d/10s13Sk5xrltsiR-Zkbmk5DwIaDIKO8Xl"&amp;"bJAfqyT7Gvg/edit?usp=sharing"",""น่าน!M193"")+IMPORTRANGE(""https://docs.google.com/spreadsheets/d/1uu4nAn4Dbi1XREnLKKotUANlKXa7yCgRcgq8HEzQYW8/edit?usp=sharing"",""พะเยา!M193"")+IMPORTRANGE(""https://docs.google.com/spreadsheets/d/1xfJKIQxVOaPDIICqsflNlL"&amp;"u3JacTDk1FP9RH4phX7mI/edit?usp=sharing"",""พิจิตร!M193"")+IMPORTRANGE(""https://docs.google.com/spreadsheets/d/1JtRfZkJMHtEhI5RdRHxYUG4FIZHqKDpNyIuN7A1Q0_k/edit?usp=sharing"",""พิษณุโลก!M193"")+IMPORTRANGE(""https://docs.google.com/spreadsheets/d/1xlcVZWU"&amp;"Nn6SuWm0c307h32SiGkd9BaeQWlAktfD3KO8/edit?usp=sharing"",""เพชรบูรณ์!M193"")+IMPORTRANGE(""https://docs.google.com/spreadsheets/d/1lOVebEIsI9qjGXl6EX66luk7wiuP2tBaryw-wKvv4e0/edit?usp=sharing"",""แพร่!M193"")+IMPORTRANGE(""https://docs.google.com/spreadshe"&amp;"ets/d/1dQrvX0vEcN7Gu0fnZ0B5S90AeR19zth4XlExFBeExMY/edit?usp=sharing"",""แม่ฮ่องสอน!M193"")+IMPORTRANGE(""https://docs.google.com/spreadsheets/d/1DY4XTNNwjluuxqdfdn6qvOSlMRrZqUtmYcZR0ttFiG4/edit?usp=sharing"",""ลำปาง!M193"")+IMPORTRANGE(""https://docs.goog"&amp;"le.com/spreadsheets/d/1ICwG78r0OFT8biBlxnBF8r7she7gNSzOvJ958PWT09c/edit?usp=sharing"",""ลำพูน!M193"")+IMPORTRANGE(""https://docs.google.com/spreadsheets/d/1B0f2xJpZUC6Z0xXnqKlZtEPzsf6L84eP1r1Q15seqRM/edit?usp=sharing"",""สุโขทัย!M193"")+IMPORTRANGE(""http"&amp;"s://docs.google.com/spreadsheets/d/1v0b9pFQCsKUVExMei7AgY2yQkdeNQvtOssygGsXbiKo/edit?usp=sharing"",""อุตรดิตถ์!M193"")+IMPORTRANGE(""https://docs.google.com/spreadsheets/d/1UsNK1e-WWiCo2PvGqdNfdme4m17_Ezd3J69EeeiQPD0/edit?usp=sharing"",""อุทัยธานี!M193"")"),0)</f>
        <v>0</v>
      </c>
      <c r="N193" s="59">
        <f ca="1">IFERROR(__xludf.DUMMYFUNCTION("IMPORTRANGE(""https://docs.google.com/spreadsheets/d/1jTcq05yEiRwXcBMLjiodW9e4biSGYWAHcDj22rKWQ3s/edit?usp=sharing"",""กำแพงเพชร!N193"")+IMPORTRANGE(""https://docs.google.com/spreadsheets/d/1KS0zmDSZPk8KnTAbGN-Xk6MtX1YRZD0ldgdt20K4CRk/edit?usp=sharing"","&amp;"""เชียงราย!N193"")+IMPORTRANGE(""https://docs.google.com/spreadsheets/d/1rEDxBtusbi64tE0zunoIbsTVV16HeL0oJ6trHQeQ7K8/edit?usp=sharing"",""เชียงใหม่!N193"")+IMPORTRANGE(""https://docs.google.com/spreadsheets/d/1W6MnUbDkMi6xHnHko_XkFDO9kkuL6Wqyc-6OCDFjW9I/e"&amp;"dit?usp=sharing"",""ตาก!N193"")+IMPORTRANGE(""https://docs.google.com/spreadsheets/d/1IQAWArduLkta9LpYo4a_ULsyqdta6-6aDDiwpUnQT6c/edit?usp=sharing"",""นครสวรรค์!N193"")+IMPORTRANGE(""https://docs.google.com/spreadsheets/d/10s13Sk5xrltsiR-Zkbmk5DwIaDIKO8Xl"&amp;"bJAfqyT7Gvg/edit?usp=sharing"",""น่าน!N193"")+IMPORTRANGE(""https://docs.google.com/spreadsheets/d/1uu4nAn4Dbi1XREnLKKotUANlKXa7yCgRcgq8HEzQYW8/edit?usp=sharing"",""พะเยา!N193"")+IMPORTRANGE(""https://docs.google.com/spreadsheets/d/1xfJKIQxVOaPDIICqsflNlL"&amp;"u3JacTDk1FP9RH4phX7mI/edit?usp=sharing"",""พิจิตร!N193"")+IMPORTRANGE(""https://docs.google.com/spreadsheets/d/1JtRfZkJMHtEhI5RdRHxYUG4FIZHqKDpNyIuN7A1Q0_k/edit?usp=sharing"",""พิษณุโลก!N193"")+IMPORTRANGE(""https://docs.google.com/spreadsheets/d/1xlcVZWU"&amp;"Nn6SuWm0c307h32SiGkd9BaeQWlAktfD3KO8/edit?usp=sharing"",""เพชรบูรณ์!N193"")+IMPORTRANGE(""https://docs.google.com/spreadsheets/d/1lOVebEIsI9qjGXl6EX66luk7wiuP2tBaryw-wKvv4e0/edit?usp=sharing"",""แพร่!N193"")+IMPORTRANGE(""https://docs.google.com/spreadshe"&amp;"ets/d/1dQrvX0vEcN7Gu0fnZ0B5S90AeR19zth4XlExFBeExMY/edit?usp=sharing"",""แม่ฮ่องสอน!N193"")+IMPORTRANGE(""https://docs.google.com/spreadsheets/d/1DY4XTNNwjluuxqdfdn6qvOSlMRrZqUtmYcZR0ttFiG4/edit?usp=sharing"",""ลำปาง!N193"")+IMPORTRANGE(""https://docs.goog"&amp;"le.com/spreadsheets/d/1ICwG78r0OFT8biBlxnBF8r7she7gNSzOvJ958PWT09c/edit?usp=sharing"",""ลำพูน!N193"")+IMPORTRANGE(""https://docs.google.com/spreadsheets/d/1B0f2xJpZUC6Z0xXnqKlZtEPzsf6L84eP1r1Q15seqRM/edit?usp=sharing"",""สุโขทัย!N193"")+IMPORTRANGE(""http"&amp;"s://docs.google.com/spreadsheets/d/1v0b9pFQCsKUVExMei7AgY2yQkdeNQvtOssygGsXbiKo/edit?usp=sharing"",""อุตรดิตถ์!N193"")+IMPORTRANGE(""https://docs.google.com/spreadsheets/d/1UsNK1e-WWiCo2PvGqdNfdme4m17_Ezd3J69EeeiQPD0/edit?usp=sharing"",""อุทัยธานี!N193"")"),0)</f>
        <v>0</v>
      </c>
      <c r="O193" s="59">
        <f t="shared" ca="1" si="95"/>
        <v>0</v>
      </c>
      <c r="P193" s="59">
        <f t="shared" ca="1" si="96"/>
        <v>0</v>
      </c>
    </row>
    <row r="194" spans="1:16" ht="18.75" x14ac:dyDescent="0.25">
      <c r="A194" s="157"/>
      <c r="B194" s="53"/>
      <c r="C194" s="53"/>
      <c r="D194" s="53"/>
      <c r="E194" s="60" t="s">
        <v>19</v>
      </c>
      <c r="F194" s="53"/>
      <c r="G194" s="55"/>
      <c r="H194" s="166" t="s">
        <v>12</v>
      </c>
      <c r="I194" s="164"/>
      <c r="J194" s="164"/>
      <c r="K194" s="165"/>
      <c r="L194" s="59">
        <f ca="1">IFERROR(__xludf.DUMMYFUNCTION("IMPORTRANGE(""https://docs.google.com/spreadsheets/d/1jTcq05yEiRwXcBMLjiodW9e4biSGYWAHcDj22rKWQ3s/edit?usp=sharing"",""กำแพงเพชร!L194"")+IMPORTRANGE(""https://docs.google.com/spreadsheets/d/1KS0zmDSZPk8KnTAbGN-Xk6MtX1YRZD0ldgdt20K4CRk/edit?usp=sharing"","&amp;"""เชียงราย!L194"")+IMPORTRANGE(""https://docs.google.com/spreadsheets/d/1rEDxBtusbi64tE0zunoIbsTVV16HeL0oJ6trHQeQ7K8/edit?usp=sharing"",""เชียงใหม่!L194"")+IMPORTRANGE(""https://docs.google.com/spreadsheets/d/1W6MnUbDkMi6xHnHko_XkFDO9kkuL6Wqyc-6OCDFjW9I/e"&amp;"dit?usp=sharing"",""ตาก!L194"")+IMPORTRANGE(""https://docs.google.com/spreadsheets/d/1IQAWArduLkta9LpYo4a_ULsyqdta6-6aDDiwpUnQT6c/edit?usp=sharing"",""นครสวรรค์!L194"")+IMPORTRANGE(""https://docs.google.com/spreadsheets/d/10s13Sk5xrltsiR-Zkbmk5DwIaDIKO8Xl"&amp;"bJAfqyT7Gvg/edit?usp=sharing"",""น่าน!L194"")+IMPORTRANGE(""https://docs.google.com/spreadsheets/d/1uu4nAn4Dbi1XREnLKKotUANlKXa7yCgRcgq8HEzQYW8/edit?usp=sharing"",""พะเยา!L194"")+IMPORTRANGE(""https://docs.google.com/spreadsheets/d/1xfJKIQxVOaPDIICqsflNlL"&amp;"u3JacTDk1FP9RH4phX7mI/edit?usp=sharing"",""พิจิตร!L194"")+IMPORTRANGE(""https://docs.google.com/spreadsheets/d/1JtRfZkJMHtEhI5RdRHxYUG4FIZHqKDpNyIuN7A1Q0_k/edit?usp=sharing"",""พิษณุโลก!L194"")+IMPORTRANGE(""https://docs.google.com/spreadsheets/d/1xlcVZWU"&amp;"Nn6SuWm0c307h32SiGkd9BaeQWlAktfD3KO8/edit?usp=sharing"",""เพชรบูรณ์!L194"")+IMPORTRANGE(""https://docs.google.com/spreadsheets/d/1lOVebEIsI9qjGXl6EX66luk7wiuP2tBaryw-wKvv4e0/edit?usp=sharing"",""แพร่!L194"")+IMPORTRANGE(""https://docs.google.com/spreadshe"&amp;"ets/d/1dQrvX0vEcN7Gu0fnZ0B5S90AeR19zth4XlExFBeExMY/edit?usp=sharing"",""แม่ฮ่องสอน!L194"")+IMPORTRANGE(""https://docs.google.com/spreadsheets/d/1DY4XTNNwjluuxqdfdn6qvOSlMRrZqUtmYcZR0ttFiG4/edit?usp=sharing"",""ลำปาง!L194"")+IMPORTRANGE(""https://docs.goog"&amp;"le.com/spreadsheets/d/1ICwG78r0OFT8biBlxnBF8r7she7gNSzOvJ958PWT09c/edit?usp=sharing"",""ลำพูน!L194"")+IMPORTRANGE(""https://docs.google.com/spreadsheets/d/1B0f2xJpZUC6Z0xXnqKlZtEPzsf6L84eP1r1Q15seqRM/edit?usp=sharing"",""สุโขทัย!L194"")+IMPORTRANGE(""http"&amp;"s://docs.google.com/spreadsheets/d/1v0b9pFQCsKUVExMei7AgY2yQkdeNQvtOssygGsXbiKo/edit?usp=sharing"",""อุตรดิตถ์!L194"")+IMPORTRANGE(""https://docs.google.com/spreadsheets/d/1UsNK1e-WWiCo2PvGqdNfdme4m17_Ezd3J69EeeiQPD0/edit?usp=sharing"",""อุทัยธานี!L194"")"),0)</f>
        <v>0</v>
      </c>
      <c r="M194" s="59">
        <f ca="1">IFERROR(__xludf.DUMMYFUNCTION("IMPORTRANGE(""https://docs.google.com/spreadsheets/d/1jTcq05yEiRwXcBMLjiodW9e4biSGYWAHcDj22rKWQ3s/edit?usp=sharing"",""กำแพงเพชร!M194"")+IMPORTRANGE(""https://docs.google.com/spreadsheets/d/1KS0zmDSZPk8KnTAbGN-Xk6MtX1YRZD0ldgdt20K4CRk/edit?usp=sharing"","&amp;"""เชียงราย!M194"")+IMPORTRANGE(""https://docs.google.com/spreadsheets/d/1rEDxBtusbi64tE0zunoIbsTVV16HeL0oJ6trHQeQ7K8/edit?usp=sharing"",""เชียงใหม่!M194"")+IMPORTRANGE(""https://docs.google.com/spreadsheets/d/1W6MnUbDkMi6xHnHko_XkFDO9kkuL6Wqyc-6OCDFjW9I/e"&amp;"dit?usp=sharing"",""ตาก!M194"")+IMPORTRANGE(""https://docs.google.com/spreadsheets/d/1IQAWArduLkta9LpYo4a_ULsyqdta6-6aDDiwpUnQT6c/edit?usp=sharing"",""นครสวรรค์!M194"")+IMPORTRANGE(""https://docs.google.com/spreadsheets/d/10s13Sk5xrltsiR-Zkbmk5DwIaDIKO8Xl"&amp;"bJAfqyT7Gvg/edit?usp=sharing"",""น่าน!M194"")+IMPORTRANGE(""https://docs.google.com/spreadsheets/d/1uu4nAn4Dbi1XREnLKKotUANlKXa7yCgRcgq8HEzQYW8/edit?usp=sharing"",""พะเยา!M194"")+IMPORTRANGE(""https://docs.google.com/spreadsheets/d/1xfJKIQxVOaPDIICqsflNlL"&amp;"u3JacTDk1FP9RH4phX7mI/edit?usp=sharing"",""พิจิตร!M194"")+IMPORTRANGE(""https://docs.google.com/spreadsheets/d/1JtRfZkJMHtEhI5RdRHxYUG4FIZHqKDpNyIuN7A1Q0_k/edit?usp=sharing"",""พิษณุโลก!M194"")+IMPORTRANGE(""https://docs.google.com/spreadsheets/d/1xlcVZWU"&amp;"Nn6SuWm0c307h32SiGkd9BaeQWlAktfD3KO8/edit?usp=sharing"",""เพชรบูรณ์!M194"")+IMPORTRANGE(""https://docs.google.com/spreadsheets/d/1lOVebEIsI9qjGXl6EX66luk7wiuP2tBaryw-wKvv4e0/edit?usp=sharing"",""แพร่!M194"")+IMPORTRANGE(""https://docs.google.com/spreadshe"&amp;"ets/d/1dQrvX0vEcN7Gu0fnZ0B5S90AeR19zth4XlExFBeExMY/edit?usp=sharing"",""แม่ฮ่องสอน!M194"")+IMPORTRANGE(""https://docs.google.com/spreadsheets/d/1DY4XTNNwjluuxqdfdn6qvOSlMRrZqUtmYcZR0ttFiG4/edit?usp=sharing"",""ลำปาง!M194"")+IMPORTRANGE(""https://docs.goog"&amp;"le.com/spreadsheets/d/1ICwG78r0OFT8biBlxnBF8r7she7gNSzOvJ958PWT09c/edit?usp=sharing"",""ลำพูน!M194"")+IMPORTRANGE(""https://docs.google.com/spreadsheets/d/1B0f2xJpZUC6Z0xXnqKlZtEPzsf6L84eP1r1Q15seqRM/edit?usp=sharing"",""สุโขทัย!M194"")+IMPORTRANGE(""http"&amp;"s://docs.google.com/spreadsheets/d/1v0b9pFQCsKUVExMei7AgY2yQkdeNQvtOssygGsXbiKo/edit?usp=sharing"",""อุตรดิตถ์!M194"")+IMPORTRANGE(""https://docs.google.com/spreadsheets/d/1UsNK1e-WWiCo2PvGqdNfdme4m17_Ezd3J69EeeiQPD0/edit?usp=sharing"",""อุทัยธานี!M194"")"),0)</f>
        <v>0</v>
      </c>
      <c r="N194" s="59">
        <f ca="1">IFERROR(__xludf.DUMMYFUNCTION("IMPORTRANGE(""https://docs.google.com/spreadsheets/d/1jTcq05yEiRwXcBMLjiodW9e4biSGYWAHcDj22rKWQ3s/edit?usp=sharing"",""กำแพงเพชร!N194"")+IMPORTRANGE(""https://docs.google.com/spreadsheets/d/1KS0zmDSZPk8KnTAbGN-Xk6MtX1YRZD0ldgdt20K4CRk/edit?usp=sharing"","&amp;"""เชียงราย!N194"")+IMPORTRANGE(""https://docs.google.com/spreadsheets/d/1rEDxBtusbi64tE0zunoIbsTVV16HeL0oJ6trHQeQ7K8/edit?usp=sharing"",""เชียงใหม่!N194"")+IMPORTRANGE(""https://docs.google.com/spreadsheets/d/1W6MnUbDkMi6xHnHko_XkFDO9kkuL6Wqyc-6OCDFjW9I/e"&amp;"dit?usp=sharing"",""ตาก!N194"")+IMPORTRANGE(""https://docs.google.com/spreadsheets/d/1IQAWArduLkta9LpYo4a_ULsyqdta6-6aDDiwpUnQT6c/edit?usp=sharing"",""นครสวรรค์!N194"")+IMPORTRANGE(""https://docs.google.com/spreadsheets/d/10s13Sk5xrltsiR-Zkbmk5DwIaDIKO8Xl"&amp;"bJAfqyT7Gvg/edit?usp=sharing"",""น่าน!N194"")+IMPORTRANGE(""https://docs.google.com/spreadsheets/d/1uu4nAn4Dbi1XREnLKKotUANlKXa7yCgRcgq8HEzQYW8/edit?usp=sharing"",""พะเยา!N194"")+IMPORTRANGE(""https://docs.google.com/spreadsheets/d/1xfJKIQxVOaPDIICqsflNlL"&amp;"u3JacTDk1FP9RH4phX7mI/edit?usp=sharing"",""พิจิตร!N194"")+IMPORTRANGE(""https://docs.google.com/spreadsheets/d/1JtRfZkJMHtEhI5RdRHxYUG4FIZHqKDpNyIuN7A1Q0_k/edit?usp=sharing"",""พิษณุโลก!N194"")+IMPORTRANGE(""https://docs.google.com/spreadsheets/d/1xlcVZWU"&amp;"Nn6SuWm0c307h32SiGkd9BaeQWlAktfD3KO8/edit?usp=sharing"",""เพชรบูรณ์!N194"")+IMPORTRANGE(""https://docs.google.com/spreadsheets/d/1lOVebEIsI9qjGXl6EX66luk7wiuP2tBaryw-wKvv4e0/edit?usp=sharing"",""แพร่!N194"")+IMPORTRANGE(""https://docs.google.com/spreadshe"&amp;"ets/d/1dQrvX0vEcN7Gu0fnZ0B5S90AeR19zth4XlExFBeExMY/edit?usp=sharing"",""แม่ฮ่องสอน!N194"")+IMPORTRANGE(""https://docs.google.com/spreadsheets/d/1DY4XTNNwjluuxqdfdn6qvOSlMRrZqUtmYcZR0ttFiG4/edit?usp=sharing"",""ลำปาง!N194"")+IMPORTRANGE(""https://docs.goog"&amp;"le.com/spreadsheets/d/1ICwG78r0OFT8biBlxnBF8r7she7gNSzOvJ958PWT09c/edit?usp=sharing"",""ลำพูน!N194"")+IMPORTRANGE(""https://docs.google.com/spreadsheets/d/1B0f2xJpZUC6Z0xXnqKlZtEPzsf6L84eP1r1Q15seqRM/edit?usp=sharing"",""สุโขทัย!N194"")+IMPORTRANGE(""http"&amp;"s://docs.google.com/spreadsheets/d/1v0b9pFQCsKUVExMei7AgY2yQkdeNQvtOssygGsXbiKo/edit?usp=sharing"",""อุตรดิตถ์!N194"")+IMPORTRANGE(""https://docs.google.com/spreadsheets/d/1UsNK1e-WWiCo2PvGqdNfdme4m17_Ezd3J69EeeiQPD0/edit?usp=sharing"",""อุทัยธานี!N194"")"),0)</f>
        <v>0</v>
      </c>
      <c r="O194" s="59">
        <f t="shared" ca="1" si="95"/>
        <v>0</v>
      </c>
      <c r="P194" s="59">
        <f t="shared" ca="1" si="96"/>
        <v>0</v>
      </c>
    </row>
    <row r="195" spans="1:16" ht="19.5" x14ac:dyDescent="0.3">
      <c r="A195" s="279"/>
      <c r="B195" s="280"/>
      <c r="C195" s="281" t="s">
        <v>72</v>
      </c>
      <c r="D195" s="282"/>
      <c r="E195" s="282"/>
      <c r="F195" s="282"/>
      <c r="G195" s="283"/>
      <c r="H195" s="284" t="s">
        <v>73</v>
      </c>
      <c r="I195" s="285">
        <f t="shared" ref="I195:J195" ca="1" si="101">I198</f>
        <v>68</v>
      </c>
      <c r="J195" s="285">
        <f t="shared" ca="1" si="101"/>
        <v>5</v>
      </c>
      <c r="K195" s="286">
        <f ca="1">IF(I195&gt;0,J195*100/I195,0)</f>
        <v>7.3529411764705879</v>
      </c>
      <c r="L195" s="287"/>
      <c r="M195" s="287"/>
      <c r="N195" s="287"/>
      <c r="O195" s="287"/>
      <c r="P195" s="287"/>
    </row>
    <row r="196" spans="1:16" ht="19.5" x14ac:dyDescent="0.3">
      <c r="A196" s="157"/>
      <c r="B196" s="53"/>
      <c r="C196" s="158" t="s">
        <v>16</v>
      </c>
      <c r="D196" s="288" t="s">
        <v>17</v>
      </c>
      <c r="E196" s="53"/>
      <c r="F196" s="53"/>
      <c r="G196" s="55"/>
      <c r="H196" s="289" t="s">
        <v>12</v>
      </c>
      <c r="I196" s="57"/>
      <c r="J196" s="57"/>
      <c r="K196" s="58"/>
      <c r="L196" s="161">
        <f ca="1">IFERROR(__xludf.DUMMYFUNCTION("IMPORTRANGE(""https://docs.google.com/spreadsheets/d/1jTcq05yEiRwXcBMLjiodW9e4biSGYWAHcDj22rKWQ3s/edit?usp=sharing"",""กำแพงเพชร!L196"")+IMPORTRANGE(""https://docs.google.com/spreadsheets/d/1KS0zmDSZPk8KnTAbGN-Xk6MtX1YRZD0ldgdt20K4CRk/edit?usp=sharing"","&amp;"""เชียงราย!L196"")+IMPORTRANGE(""https://docs.google.com/spreadsheets/d/1rEDxBtusbi64tE0zunoIbsTVV16HeL0oJ6trHQeQ7K8/edit?usp=sharing"",""เชียงใหม่!L196"")+IMPORTRANGE(""https://docs.google.com/spreadsheets/d/1W6MnUbDkMi6xHnHko_XkFDO9kkuL6Wqyc-6OCDFjW9I/e"&amp;"dit?usp=sharing"",""ตาก!L196"")+IMPORTRANGE(""https://docs.google.com/spreadsheets/d/1IQAWArduLkta9LpYo4a_ULsyqdta6-6aDDiwpUnQT6c/edit?usp=sharing"",""นครสวรรค์!L196"")+IMPORTRANGE(""https://docs.google.com/spreadsheets/d/10s13Sk5xrltsiR-Zkbmk5DwIaDIKO8Xl"&amp;"bJAfqyT7Gvg/edit?usp=sharing"",""น่าน!L196"")+IMPORTRANGE(""https://docs.google.com/spreadsheets/d/1uu4nAn4Dbi1XREnLKKotUANlKXa7yCgRcgq8HEzQYW8/edit?usp=sharing"",""พะเยา!L196"")+IMPORTRANGE(""https://docs.google.com/spreadsheets/d/1xfJKIQxVOaPDIICqsflNlL"&amp;"u3JacTDk1FP9RH4phX7mI/edit?usp=sharing"",""พิจิตร!L196"")+IMPORTRANGE(""https://docs.google.com/spreadsheets/d/1JtRfZkJMHtEhI5RdRHxYUG4FIZHqKDpNyIuN7A1Q0_k/edit?usp=sharing"",""พิษณุโลก!L196"")+IMPORTRANGE(""https://docs.google.com/spreadsheets/d/1xlcVZWU"&amp;"Nn6SuWm0c307h32SiGkd9BaeQWlAktfD3KO8/edit?usp=sharing"",""เพชรบูรณ์!L196"")+IMPORTRANGE(""https://docs.google.com/spreadsheets/d/1lOVebEIsI9qjGXl6EX66luk7wiuP2tBaryw-wKvv4e0/edit?usp=sharing"",""แพร่!L196"")+IMPORTRANGE(""https://docs.google.com/spreadshe"&amp;"ets/d/1dQrvX0vEcN7Gu0fnZ0B5S90AeR19zth4XlExFBeExMY/edit?usp=sharing"",""แม่ฮ่องสอน!L196"")+IMPORTRANGE(""https://docs.google.com/spreadsheets/d/1DY4XTNNwjluuxqdfdn6qvOSlMRrZqUtmYcZR0ttFiG4/edit?usp=sharing"",""ลำปาง!L196"")+IMPORTRANGE(""https://docs.goog"&amp;"le.com/spreadsheets/d/1ICwG78r0OFT8biBlxnBF8r7she7gNSzOvJ958PWT09c/edit?usp=sharing"",""ลำพูน!L196"")+IMPORTRANGE(""https://docs.google.com/spreadsheets/d/1B0f2xJpZUC6Z0xXnqKlZtEPzsf6L84eP1r1Q15seqRM/edit?usp=sharing"",""สุโขทัย!L196"")+IMPORTRANGE(""http"&amp;"s://docs.google.com/spreadsheets/d/1v0b9pFQCsKUVExMei7AgY2yQkdeNQvtOssygGsXbiKo/edit?usp=sharing"",""อุตรดิตถ์!L196"")+IMPORTRANGE(""https://docs.google.com/spreadsheets/d/1UsNK1e-WWiCo2PvGqdNfdme4m17_Ezd3J69EeeiQPD0/edit?usp=sharing"",""อุทัยธานี!L196"")"),102000)</f>
        <v>102000</v>
      </c>
      <c r="M196" s="58"/>
      <c r="N196" s="161">
        <f ca="1">IFERROR(__xludf.DUMMYFUNCTION("IMPORTRANGE(""https://docs.google.com/spreadsheets/d/1jTcq05yEiRwXcBMLjiodW9e4biSGYWAHcDj22rKWQ3s/edit?usp=sharing"",""กำแพงเพชร!N196"")+IMPORTRANGE(""https://docs.google.com/spreadsheets/d/1KS0zmDSZPk8KnTAbGN-Xk6MtX1YRZD0ldgdt20K4CRk/edit?usp=sharing"","&amp;"""เชียงราย!N196"")+IMPORTRANGE(""https://docs.google.com/spreadsheets/d/1rEDxBtusbi64tE0zunoIbsTVV16HeL0oJ6trHQeQ7K8/edit?usp=sharing"",""เชียงใหม่!N196"")+IMPORTRANGE(""https://docs.google.com/spreadsheets/d/1W6MnUbDkMi6xHnHko_XkFDO9kkuL6Wqyc-6OCDFjW9I/e"&amp;"dit?usp=sharing"",""ตาก!N196"")+IMPORTRANGE(""https://docs.google.com/spreadsheets/d/1IQAWArduLkta9LpYo4a_ULsyqdta6-6aDDiwpUnQT6c/edit?usp=sharing"",""นครสวรรค์!N196"")+IMPORTRANGE(""https://docs.google.com/spreadsheets/d/10s13Sk5xrltsiR-Zkbmk5DwIaDIKO8Xl"&amp;"bJAfqyT7Gvg/edit?usp=sharing"",""น่าน!N196"")+IMPORTRANGE(""https://docs.google.com/spreadsheets/d/1uu4nAn4Dbi1XREnLKKotUANlKXa7yCgRcgq8HEzQYW8/edit?usp=sharing"",""พะเยา!N196"")+IMPORTRANGE(""https://docs.google.com/spreadsheets/d/1xfJKIQxVOaPDIICqsflNlL"&amp;"u3JacTDk1FP9RH4phX7mI/edit?usp=sharing"",""พิจิตร!N196"")+IMPORTRANGE(""https://docs.google.com/spreadsheets/d/1JtRfZkJMHtEhI5RdRHxYUG4FIZHqKDpNyIuN7A1Q0_k/edit?usp=sharing"",""พิษณุโลก!N196"")+IMPORTRANGE(""https://docs.google.com/spreadsheets/d/1xlcVZWU"&amp;"Nn6SuWm0c307h32SiGkd9BaeQWlAktfD3KO8/edit?usp=sharing"",""เพชรบูรณ์!N196"")+IMPORTRANGE(""https://docs.google.com/spreadsheets/d/1lOVebEIsI9qjGXl6EX66luk7wiuP2tBaryw-wKvv4e0/edit?usp=sharing"",""แพร่!N196"")+IMPORTRANGE(""https://docs.google.com/spreadshe"&amp;"ets/d/1dQrvX0vEcN7Gu0fnZ0B5S90AeR19zth4XlExFBeExMY/edit?usp=sharing"",""แม่ฮ่องสอน!N196"")+IMPORTRANGE(""https://docs.google.com/spreadsheets/d/1DY4XTNNwjluuxqdfdn6qvOSlMRrZqUtmYcZR0ttFiG4/edit?usp=sharing"",""ลำปาง!N196"")+IMPORTRANGE(""https://docs.goog"&amp;"le.com/spreadsheets/d/1ICwG78r0OFT8biBlxnBF8r7she7gNSzOvJ958PWT09c/edit?usp=sharing"",""ลำพูน!N196"")+IMPORTRANGE(""https://docs.google.com/spreadsheets/d/1B0f2xJpZUC6Z0xXnqKlZtEPzsf6L84eP1r1Q15seqRM/edit?usp=sharing"",""สุโขทัย!N196"")+IMPORTRANGE(""http"&amp;"s://docs.google.com/spreadsheets/d/1v0b9pFQCsKUVExMei7AgY2yQkdeNQvtOssygGsXbiKo/edit?usp=sharing"",""อุตรดิตถ์!N196"")+IMPORTRANGE(""https://docs.google.com/spreadsheets/d/1UsNK1e-WWiCo2PvGqdNfdme4m17_Ezd3J69EeeiQPD0/edit?usp=sharing"",""อุทัยธานี!N196"")"),360)</f>
        <v>360</v>
      </c>
      <c r="O196" s="161">
        <f ca="1">IF(L196&gt;0,N196*100/L196,0)</f>
        <v>0.35294117647058826</v>
      </c>
      <c r="P196" s="161"/>
    </row>
    <row r="197" spans="1:16" ht="19.5" x14ac:dyDescent="0.3">
      <c r="A197" s="167"/>
      <c r="B197" s="168"/>
      <c r="C197" s="158" t="s">
        <v>16</v>
      </c>
      <c r="D197" s="169" t="s">
        <v>36</v>
      </c>
      <c r="E197" s="170"/>
      <c r="F197" s="170"/>
      <c r="G197" s="171"/>
      <c r="H197" s="172"/>
      <c r="I197" s="57"/>
      <c r="J197" s="57"/>
      <c r="K197" s="58"/>
      <c r="L197" s="58"/>
      <c r="M197" s="58"/>
      <c r="N197" s="58"/>
      <c r="O197" s="58"/>
      <c r="P197" s="58"/>
    </row>
    <row r="198" spans="1:16" ht="18.75" x14ac:dyDescent="0.25">
      <c r="A198" s="167"/>
      <c r="B198" s="168"/>
      <c r="C198" s="168"/>
      <c r="D198" s="193" t="s">
        <v>74</v>
      </c>
      <c r="E198" s="174"/>
      <c r="F198" s="174"/>
      <c r="G198" s="172"/>
      <c r="H198" s="179" t="s">
        <v>73</v>
      </c>
      <c r="I198" s="194">
        <f ca="1">IFERROR(__xludf.DUMMYFUNCTION("IMPORTRANGE(""https://docs.google.com/spreadsheets/d/1jTcq05yEiRwXcBMLjiodW9e4biSGYWAHcDj22rKWQ3s/edit?usp=sharing"",""กำแพงเพชร!I198"")+IMPORTRANGE(""https://docs.google.com/spreadsheets/d/1KS0zmDSZPk8KnTAbGN-Xk6MtX1YRZD0ldgdt20K4CRk/edit?usp=sharing"","&amp;"""เชียงราย!I198"")+IMPORTRANGE(""https://docs.google.com/spreadsheets/d/1rEDxBtusbi64tE0zunoIbsTVV16HeL0oJ6trHQeQ7K8/edit?usp=sharing"",""เชียงใหม่!I198"")+IMPORTRANGE(""https://docs.google.com/spreadsheets/d/1W6MnUbDkMi6xHnHko_XkFDO9kkuL6Wqyc-6OCDFjW9I/e"&amp;"dit?usp=sharing"",""ตาก!I198"")+IMPORTRANGE(""https://docs.google.com/spreadsheets/d/1IQAWArduLkta9LpYo4a_ULsyqdta6-6aDDiwpUnQT6c/edit?usp=sharing"",""นครสวรรค์!I198"")+IMPORTRANGE(""https://docs.google.com/spreadsheets/d/10s13Sk5xrltsiR-Zkbmk5DwIaDIKO8Xl"&amp;"bJAfqyT7Gvg/edit?usp=sharing"",""น่าน!I198"")+IMPORTRANGE(""https://docs.google.com/spreadsheets/d/1uu4nAn4Dbi1XREnLKKotUANlKXa7yCgRcgq8HEzQYW8/edit?usp=sharing"",""พะเยา!I198"")+IMPORTRANGE(""https://docs.google.com/spreadsheets/d/1xfJKIQxVOaPDIICqsflNlL"&amp;"u3JacTDk1FP9RH4phX7mI/edit?usp=sharing"",""พิจิตร!I198"")+IMPORTRANGE(""https://docs.google.com/spreadsheets/d/1JtRfZkJMHtEhI5RdRHxYUG4FIZHqKDpNyIuN7A1Q0_k/edit?usp=sharing"",""พิษณุโลก!I198"")+IMPORTRANGE(""https://docs.google.com/spreadsheets/d/1xlcVZWU"&amp;"Nn6SuWm0c307h32SiGkd9BaeQWlAktfD3KO8/edit?usp=sharing"",""เพชรบูรณ์!I198"")+IMPORTRANGE(""https://docs.google.com/spreadsheets/d/1lOVebEIsI9qjGXl6EX66luk7wiuP2tBaryw-wKvv4e0/edit?usp=sharing"",""แพร่!I198"")+IMPORTRANGE(""https://docs.google.com/spreadshe"&amp;"ets/d/1dQrvX0vEcN7Gu0fnZ0B5S90AeR19zth4XlExFBeExMY/edit?usp=sharing"",""แม่ฮ่องสอน!I198"")+IMPORTRANGE(""https://docs.google.com/spreadsheets/d/1DY4XTNNwjluuxqdfdn6qvOSlMRrZqUtmYcZR0ttFiG4/edit?usp=sharing"",""ลำปาง!I198"")+IMPORTRANGE(""https://docs.goog"&amp;"le.com/spreadsheets/d/1ICwG78r0OFT8biBlxnBF8r7she7gNSzOvJ958PWT09c/edit?usp=sharing"",""ลำพูน!I198"")+IMPORTRANGE(""https://docs.google.com/spreadsheets/d/1B0f2xJpZUC6Z0xXnqKlZtEPzsf6L84eP1r1Q15seqRM/edit?usp=sharing"",""สุโขทัย!I198"")+IMPORTRANGE(""http"&amp;"s://docs.google.com/spreadsheets/d/1v0b9pFQCsKUVExMei7AgY2yQkdeNQvtOssygGsXbiKo/edit?usp=sharing"",""อุตรดิตถ์!I198"")+IMPORTRANGE(""https://docs.google.com/spreadsheets/d/1UsNK1e-WWiCo2PvGqdNfdme4m17_Ezd3J69EeeiQPD0/edit?usp=sharing"",""อุทัยธานี!I198"")"),68)</f>
        <v>68</v>
      </c>
      <c r="J198" s="181">
        <f ca="1">IFERROR(__xludf.DUMMYFUNCTION("IMPORTRANGE(""https://docs.google.com/spreadsheets/d/1jTcq05yEiRwXcBMLjiodW9e4biSGYWAHcDj22rKWQ3s/edit?usp=sharing"",""กำแพงเพชร!J198"")+IMPORTRANGE(""https://docs.google.com/spreadsheets/d/1KS0zmDSZPk8KnTAbGN-Xk6MtX1YRZD0ldgdt20K4CRk/edit?usp=sharing"","&amp;"""เชียงราย!J198"")+IMPORTRANGE(""https://docs.google.com/spreadsheets/d/1rEDxBtusbi64tE0zunoIbsTVV16HeL0oJ6trHQeQ7K8/edit?usp=sharing"",""เชียงใหม่!J198"")+IMPORTRANGE(""https://docs.google.com/spreadsheets/d/1W6MnUbDkMi6xHnHko_XkFDO9kkuL6Wqyc-6OCDFjW9I/e"&amp;"dit?usp=sharing"",""ตาก!J198"")+IMPORTRANGE(""https://docs.google.com/spreadsheets/d/1IQAWArduLkta9LpYo4a_ULsyqdta6-6aDDiwpUnQT6c/edit?usp=sharing"",""นครสวรรค์!J198"")+IMPORTRANGE(""https://docs.google.com/spreadsheets/d/10s13Sk5xrltsiR-Zkbmk5DwIaDIKO8Xl"&amp;"bJAfqyT7Gvg/edit?usp=sharing"",""น่าน!J198"")+IMPORTRANGE(""https://docs.google.com/spreadsheets/d/1uu4nAn4Dbi1XREnLKKotUANlKXa7yCgRcgq8HEzQYW8/edit?usp=sharing"",""พะเยา!J198"")+IMPORTRANGE(""https://docs.google.com/spreadsheets/d/1xfJKIQxVOaPDIICqsflNlL"&amp;"u3JacTDk1FP9RH4phX7mI/edit?usp=sharing"",""พิจิตร!J198"")+IMPORTRANGE(""https://docs.google.com/spreadsheets/d/1JtRfZkJMHtEhI5RdRHxYUG4FIZHqKDpNyIuN7A1Q0_k/edit?usp=sharing"",""พิษณุโลก!J198"")+IMPORTRANGE(""https://docs.google.com/spreadsheets/d/1xlcVZWU"&amp;"Nn6SuWm0c307h32SiGkd9BaeQWlAktfD3KO8/edit?usp=sharing"",""เพชรบูรณ์!J198"")+IMPORTRANGE(""https://docs.google.com/spreadsheets/d/1lOVebEIsI9qjGXl6EX66luk7wiuP2tBaryw-wKvv4e0/edit?usp=sharing"",""แพร่!J198"")+IMPORTRANGE(""https://docs.google.com/spreadshe"&amp;"ets/d/1dQrvX0vEcN7Gu0fnZ0B5S90AeR19zth4XlExFBeExMY/edit?usp=sharing"",""แม่ฮ่องสอน!J198"")+IMPORTRANGE(""https://docs.google.com/spreadsheets/d/1DY4XTNNwjluuxqdfdn6qvOSlMRrZqUtmYcZR0ttFiG4/edit?usp=sharing"",""ลำปาง!J198"")+IMPORTRANGE(""https://docs.goog"&amp;"le.com/spreadsheets/d/1ICwG78r0OFT8biBlxnBF8r7she7gNSzOvJ958PWT09c/edit?usp=sharing"",""ลำพูน!J198"")+IMPORTRANGE(""https://docs.google.com/spreadsheets/d/1B0f2xJpZUC6Z0xXnqKlZtEPzsf6L84eP1r1Q15seqRM/edit?usp=sharing"",""สุโขทัย!J198"")+IMPORTRANGE(""http"&amp;"s://docs.google.com/spreadsheets/d/1v0b9pFQCsKUVExMei7AgY2yQkdeNQvtOssygGsXbiKo/edit?usp=sharing"",""อุตรดิตถ์!J198"")+IMPORTRANGE(""https://docs.google.com/spreadsheets/d/1UsNK1e-WWiCo2PvGqdNfdme4m17_Ezd3J69EeeiQPD0/edit?usp=sharing"",""อุทัยธานี!J198"")"),5)</f>
        <v>5</v>
      </c>
      <c r="K198" s="59">
        <f ca="1">IF(I198&gt;0,J198*100/I198,0)</f>
        <v>7.3529411764705879</v>
      </c>
      <c r="L198" s="58"/>
      <c r="M198" s="58"/>
      <c r="N198" s="58"/>
      <c r="O198" s="58"/>
      <c r="P198" s="58"/>
    </row>
    <row r="199" spans="1:16" ht="19.5" x14ac:dyDescent="0.3">
      <c r="A199" s="167"/>
      <c r="B199" s="168"/>
      <c r="C199" s="168"/>
      <c r="D199" s="193" t="s">
        <v>75</v>
      </c>
      <c r="E199" s="174"/>
      <c r="F199" s="174"/>
      <c r="G199" s="172"/>
      <c r="H199" s="290" t="s">
        <v>33</v>
      </c>
      <c r="I199" s="57"/>
      <c r="J199" s="176">
        <f ca="1">J200+J201</f>
        <v>92</v>
      </c>
      <c r="K199" s="58"/>
      <c r="L199" s="58"/>
      <c r="M199" s="58"/>
      <c r="N199" s="58"/>
      <c r="O199" s="58"/>
      <c r="P199" s="58"/>
    </row>
    <row r="200" spans="1:16" ht="18.75" x14ac:dyDescent="0.25">
      <c r="A200" s="167"/>
      <c r="B200" s="168"/>
      <c r="C200" s="168"/>
      <c r="D200" s="168"/>
      <c r="E200" s="193" t="s">
        <v>76</v>
      </c>
      <c r="F200" s="174"/>
      <c r="G200" s="172"/>
      <c r="H200" s="277" t="s">
        <v>33</v>
      </c>
      <c r="I200" s="57"/>
      <c r="J200" s="181">
        <f ca="1">IFERROR(__xludf.DUMMYFUNCTION("IMPORTRANGE(""https://docs.google.com/spreadsheets/d/1jTcq05yEiRwXcBMLjiodW9e4biSGYWAHcDj22rKWQ3s/edit?usp=sharing"",""กำแพงเพชร!J200"")+IMPORTRANGE(""https://docs.google.com/spreadsheets/d/1KS0zmDSZPk8KnTAbGN-Xk6MtX1YRZD0ldgdt20K4CRk/edit?usp=sharing"","&amp;"""เชียงราย!J200"")+IMPORTRANGE(""https://docs.google.com/spreadsheets/d/1rEDxBtusbi64tE0zunoIbsTVV16HeL0oJ6trHQeQ7K8/edit?usp=sharing"",""เชียงใหม่!J200"")+IMPORTRANGE(""https://docs.google.com/spreadsheets/d/1W6MnUbDkMi6xHnHko_XkFDO9kkuL6Wqyc-6OCDFjW9I/e"&amp;"dit?usp=sharing"",""ตาก!J200"")+IMPORTRANGE(""https://docs.google.com/spreadsheets/d/1IQAWArduLkta9LpYo4a_ULsyqdta6-6aDDiwpUnQT6c/edit?usp=sharing"",""นครสวรรค์!J200"")+IMPORTRANGE(""https://docs.google.com/spreadsheets/d/10s13Sk5xrltsiR-Zkbmk5DwIaDIKO8Xl"&amp;"bJAfqyT7Gvg/edit?usp=sharing"",""น่าน!J200"")+IMPORTRANGE(""https://docs.google.com/spreadsheets/d/1uu4nAn4Dbi1XREnLKKotUANlKXa7yCgRcgq8HEzQYW8/edit?usp=sharing"",""พะเยา!J200"")+IMPORTRANGE(""https://docs.google.com/spreadsheets/d/1xfJKIQxVOaPDIICqsflNlL"&amp;"u3JacTDk1FP9RH4phX7mI/edit?usp=sharing"",""พิจิตร!J200"")+IMPORTRANGE(""https://docs.google.com/spreadsheets/d/1JtRfZkJMHtEhI5RdRHxYUG4FIZHqKDpNyIuN7A1Q0_k/edit?usp=sharing"",""พิษณุโลก!J200"")+IMPORTRANGE(""https://docs.google.com/spreadsheets/d/1xlcVZWU"&amp;"Nn6SuWm0c307h32SiGkd9BaeQWlAktfD3KO8/edit?usp=sharing"",""เพชรบูรณ์!J200"")+IMPORTRANGE(""https://docs.google.com/spreadsheets/d/1lOVebEIsI9qjGXl6EX66luk7wiuP2tBaryw-wKvv4e0/edit?usp=sharing"",""แพร่!J200"")+IMPORTRANGE(""https://docs.google.com/spreadshe"&amp;"ets/d/1dQrvX0vEcN7Gu0fnZ0B5S90AeR19zth4XlExFBeExMY/edit?usp=sharing"",""แม่ฮ่องสอน!J200"")+IMPORTRANGE(""https://docs.google.com/spreadsheets/d/1DY4XTNNwjluuxqdfdn6qvOSlMRrZqUtmYcZR0ttFiG4/edit?usp=sharing"",""ลำปาง!J200"")+IMPORTRANGE(""https://docs.goog"&amp;"le.com/spreadsheets/d/1ICwG78r0OFT8biBlxnBF8r7she7gNSzOvJ958PWT09c/edit?usp=sharing"",""ลำพูน!J200"")+IMPORTRANGE(""https://docs.google.com/spreadsheets/d/1B0f2xJpZUC6Z0xXnqKlZtEPzsf6L84eP1r1Q15seqRM/edit?usp=sharing"",""สุโขทัย!J200"")+IMPORTRANGE(""http"&amp;"s://docs.google.com/spreadsheets/d/1v0b9pFQCsKUVExMei7AgY2yQkdeNQvtOssygGsXbiKo/edit?usp=sharing"",""อุตรดิตถ์!J200"")+IMPORTRANGE(""https://docs.google.com/spreadsheets/d/1UsNK1e-WWiCo2PvGqdNfdme4m17_Ezd3J69EeeiQPD0/edit?usp=sharing"",""อุทัยธานี!J200"")"),92)</f>
        <v>92</v>
      </c>
      <c r="K200" s="58"/>
      <c r="L200" s="58"/>
      <c r="M200" s="58"/>
      <c r="N200" s="58"/>
      <c r="O200" s="58"/>
      <c r="P200" s="58"/>
    </row>
    <row r="201" spans="1:16" ht="18.75" x14ac:dyDescent="0.25">
      <c r="A201" s="167"/>
      <c r="B201" s="168"/>
      <c r="C201" s="168"/>
      <c r="D201" s="168"/>
      <c r="E201" s="193" t="s">
        <v>77</v>
      </c>
      <c r="F201" s="174"/>
      <c r="G201" s="172"/>
      <c r="H201" s="277" t="s">
        <v>33</v>
      </c>
      <c r="I201" s="57"/>
      <c r="J201" s="181">
        <f ca="1">IFERROR(__xludf.DUMMYFUNCTION("IMPORTRANGE(""https://docs.google.com/spreadsheets/d/1jTcq05yEiRwXcBMLjiodW9e4biSGYWAHcDj22rKWQ3s/edit?usp=sharing"",""กำแพงเพชร!J201"")+IMPORTRANGE(""https://docs.google.com/spreadsheets/d/1KS0zmDSZPk8KnTAbGN-Xk6MtX1YRZD0ldgdt20K4CRk/edit?usp=sharing"","&amp;"""เชียงราย!J201"")+IMPORTRANGE(""https://docs.google.com/spreadsheets/d/1rEDxBtusbi64tE0zunoIbsTVV16HeL0oJ6trHQeQ7K8/edit?usp=sharing"",""เชียงใหม่!J201"")+IMPORTRANGE(""https://docs.google.com/spreadsheets/d/1W6MnUbDkMi6xHnHko_XkFDO9kkuL6Wqyc-6OCDFjW9I/e"&amp;"dit?usp=sharing"",""ตาก!J201"")+IMPORTRANGE(""https://docs.google.com/spreadsheets/d/1IQAWArduLkta9LpYo4a_ULsyqdta6-6aDDiwpUnQT6c/edit?usp=sharing"",""นครสวรรค์!J201"")+IMPORTRANGE(""https://docs.google.com/spreadsheets/d/10s13Sk5xrltsiR-Zkbmk5DwIaDIKO8Xl"&amp;"bJAfqyT7Gvg/edit?usp=sharing"",""น่าน!J201"")+IMPORTRANGE(""https://docs.google.com/spreadsheets/d/1uu4nAn4Dbi1XREnLKKotUANlKXa7yCgRcgq8HEzQYW8/edit?usp=sharing"",""พะเยา!J201"")+IMPORTRANGE(""https://docs.google.com/spreadsheets/d/1xfJKIQxVOaPDIICqsflNlL"&amp;"u3JacTDk1FP9RH4phX7mI/edit?usp=sharing"",""พิจิตร!J201"")+IMPORTRANGE(""https://docs.google.com/spreadsheets/d/1JtRfZkJMHtEhI5RdRHxYUG4FIZHqKDpNyIuN7A1Q0_k/edit?usp=sharing"",""พิษณุโลก!J201"")+IMPORTRANGE(""https://docs.google.com/spreadsheets/d/1xlcVZWU"&amp;"Nn6SuWm0c307h32SiGkd9BaeQWlAktfD3KO8/edit?usp=sharing"",""เพชรบูรณ์!J201"")+IMPORTRANGE(""https://docs.google.com/spreadsheets/d/1lOVebEIsI9qjGXl6EX66luk7wiuP2tBaryw-wKvv4e0/edit?usp=sharing"",""แพร่!J201"")+IMPORTRANGE(""https://docs.google.com/spreadshe"&amp;"ets/d/1dQrvX0vEcN7Gu0fnZ0B5S90AeR19zth4XlExFBeExMY/edit?usp=sharing"",""แม่ฮ่องสอน!J201"")+IMPORTRANGE(""https://docs.google.com/spreadsheets/d/1DY4XTNNwjluuxqdfdn6qvOSlMRrZqUtmYcZR0ttFiG4/edit?usp=sharing"",""ลำปาง!J201"")+IMPORTRANGE(""https://docs.goog"&amp;"le.com/spreadsheets/d/1ICwG78r0OFT8biBlxnBF8r7she7gNSzOvJ958PWT09c/edit?usp=sharing"",""ลำพูน!J201"")+IMPORTRANGE(""https://docs.google.com/spreadsheets/d/1B0f2xJpZUC6Z0xXnqKlZtEPzsf6L84eP1r1Q15seqRM/edit?usp=sharing"",""สุโขทัย!J201"")+IMPORTRANGE(""http"&amp;"s://docs.google.com/spreadsheets/d/1v0b9pFQCsKUVExMei7AgY2yQkdeNQvtOssygGsXbiKo/edit?usp=sharing"",""อุตรดิตถ์!J201"")+IMPORTRANGE(""https://docs.google.com/spreadsheets/d/1UsNK1e-WWiCo2PvGqdNfdme4m17_Ezd3J69EeeiQPD0/edit?usp=sharing"",""อุทัยธานี!J201"")"),0)</f>
        <v>0</v>
      </c>
      <c r="K201" s="58"/>
      <c r="L201" s="58"/>
      <c r="M201" s="58"/>
      <c r="N201" s="58"/>
      <c r="O201" s="58"/>
      <c r="P201" s="58"/>
    </row>
    <row r="202" spans="1:16" ht="19.5" x14ac:dyDescent="0.3">
      <c r="A202" s="279"/>
      <c r="B202" s="280"/>
      <c r="C202" s="281" t="s">
        <v>78</v>
      </c>
      <c r="D202" s="282"/>
      <c r="E202" s="282"/>
      <c r="F202" s="282"/>
      <c r="G202" s="283"/>
      <c r="H202" s="291" t="s">
        <v>79</v>
      </c>
      <c r="I202" s="285">
        <f t="shared" ref="I202:J202" ca="1" si="102">I209</f>
        <v>42</v>
      </c>
      <c r="J202" s="285">
        <f t="shared" ca="1" si="102"/>
        <v>4</v>
      </c>
      <c r="K202" s="286">
        <f ca="1">IF(I202&gt;0,J202*100/I202,0)</f>
        <v>9.5238095238095237</v>
      </c>
      <c r="L202" s="287"/>
      <c r="M202" s="287"/>
      <c r="N202" s="287"/>
      <c r="O202" s="287"/>
      <c r="P202" s="287"/>
    </row>
    <row r="203" spans="1:16" ht="19.5" x14ac:dyDescent="0.3">
      <c r="A203" s="157"/>
      <c r="B203" s="53"/>
      <c r="C203" s="158" t="s">
        <v>16</v>
      </c>
      <c r="D203" s="288" t="s">
        <v>17</v>
      </c>
      <c r="E203" s="53"/>
      <c r="F203" s="53"/>
      <c r="G203" s="55"/>
      <c r="H203" s="289" t="s">
        <v>12</v>
      </c>
      <c r="I203" s="164"/>
      <c r="J203" s="164"/>
      <c r="K203" s="165"/>
      <c r="L203" s="161">
        <f ca="1">L204+L205+L206+L207</f>
        <v>577000</v>
      </c>
      <c r="M203" s="58"/>
      <c r="N203" s="161">
        <f ca="1">N204+N205+N206+N207</f>
        <v>34700</v>
      </c>
      <c r="O203" s="161">
        <f ca="1">IF(L203&gt;0,N203*100/L203,0)</f>
        <v>6.0138648180242633</v>
      </c>
      <c r="P203" s="161"/>
    </row>
    <row r="204" spans="1:16" ht="18.75" x14ac:dyDescent="0.25">
      <c r="A204" s="157"/>
      <c r="B204" s="278"/>
      <c r="C204" s="53"/>
      <c r="D204" s="292" t="s">
        <v>80</v>
      </c>
      <c r="E204" s="53"/>
      <c r="F204" s="53"/>
      <c r="G204" s="55"/>
      <c r="H204" s="163" t="s">
        <v>12</v>
      </c>
      <c r="I204" s="164"/>
      <c r="J204" s="164"/>
      <c r="K204" s="165"/>
      <c r="L204" s="59">
        <f ca="1">IFERROR(__xludf.DUMMYFUNCTION("IMPORTRANGE(""https://docs.google.com/spreadsheets/d/1jTcq05yEiRwXcBMLjiodW9e4biSGYWAHcDj22rKWQ3s/edit?usp=sharing"",""กำแพงเพชร!L204"")+IMPORTRANGE(""https://docs.google.com/spreadsheets/d/1KS0zmDSZPk8KnTAbGN-Xk6MtX1YRZD0ldgdt20K4CRk/edit?usp=sharing"","&amp;"""เชียงราย!L204"")+IMPORTRANGE(""https://docs.google.com/spreadsheets/d/1rEDxBtusbi64tE0zunoIbsTVV16HeL0oJ6trHQeQ7K8/edit?usp=sharing"",""เชียงใหม่!L204"")+IMPORTRANGE(""https://docs.google.com/spreadsheets/d/1W6MnUbDkMi6xHnHko_XkFDO9kkuL6Wqyc-6OCDFjW9I/e"&amp;"dit?usp=sharing"",""ตาก!L204"")+IMPORTRANGE(""https://docs.google.com/spreadsheets/d/1IQAWArduLkta9LpYo4a_ULsyqdta6-6aDDiwpUnQT6c/edit?usp=sharing"",""นครสวรรค์!L204"")+IMPORTRANGE(""https://docs.google.com/spreadsheets/d/10s13Sk5xrltsiR-Zkbmk5DwIaDIKO8Xl"&amp;"bJAfqyT7Gvg/edit?usp=sharing"",""น่าน!L204"")+IMPORTRANGE(""https://docs.google.com/spreadsheets/d/1uu4nAn4Dbi1XREnLKKotUANlKXa7yCgRcgq8HEzQYW8/edit?usp=sharing"",""พะเยา!L204"")+IMPORTRANGE(""https://docs.google.com/spreadsheets/d/1xfJKIQxVOaPDIICqsflNlL"&amp;"u3JacTDk1FP9RH4phX7mI/edit?usp=sharing"",""พิจิตร!L204"")+IMPORTRANGE(""https://docs.google.com/spreadsheets/d/1JtRfZkJMHtEhI5RdRHxYUG4FIZHqKDpNyIuN7A1Q0_k/edit?usp=sharing"",""พิษณุโลก!L204"")+IMPORTRANGE(""https://docs.google.com/spreadsheets/d/1xlcVZWU"&amp;"Nn6SuWm0c307h32SiGkd9BaeQWlAktfD3KO8/edit?usp=sharing"",""เพชรบูรณ์!L204"")+IMPORTRANGE(""https://docs.google.com/spreadsheets/d/1lOVebEIsI9qjGXl6EX66luk7wiuP2tBaryw-wKvv4e0/edit?usp=sharing"",""แพร่!L204"")+IMPORTRANGE(""https://docs.google.com/spreadshe"&amp;"ets/d/1dQrvX0vEcN7Gu0fnZ0B5S90AeR19zth4XlExFBeExMY/edit?usp=sharing"",""แม่ฮ่องสอน!L204"")+IMPORTRANGE(""https://docs.google.com/spreadsheets/d/1DY4XTNNwjluuxqdfdn6qvOSlMRrZqUtmYcZR0ttFiG4/edit?usp=sharing"",""ลำปาง!L204"")+IMPORTRANGE(""https://docs.goog"&amp;"le.com/spreadsheets/d/1ICwG78r0OFT8biBlxnBF8r7she7gNSzOvJ958PWT09c/edit?usp=sharing"",""ลำพูน!L204"")+IMPORTRANGE(""https://docs.google.com/spreadsheets/d/1B0f2xJpZUC6Z0xXnqKlZtEPzsf6L84eP1r1Q15seqRM/edit?usp=sharing"",""สุโขทัย!L204"")+IMPORTRANGE(""http"&amp;"s://docs.google.com/spreadsheets/d/1v0b9pFQCsKUVExMei7AgY2yQkdeNQvtOssygGsXbiKo/edit?usp=sharing"",""อุตรดิตถ์!L204"")+IMPORTRANGE(""https://docs.google.com/spreadsheets/d/1UsNK1e-WWiCo2PvGqdNfdme4m17_Ezd3J69EeeiQPD0/edit?usp=sharing"",""อุทัยธานี!L204"")"),42000)</f>
        <v>42000</v>
      </c>
      <c r="M204" s="58"/>
      <c r="N204" s="59">
        <f ca="1">IFERROR(__xludf.DUMMYFUNCTION("IMPORTRANGE(""https://docs.google.com/spreadsheets/d/1jTcq05yEiRwXcBMLjiodW9e4biSGYWAHcDj22rKWQ3s/edit?usp=sharing"",""กำแพงเพชร!N204"")+IMPORTRANGE(""https://docs.google.com/spreadsheets/d/1KS0zmDSZPk8KnTAbGN-Xk6MtX1YRZD0ldgdt20K4CRk/edit?usp=sharing"","&amp;"""เชียงราย!N204"")+IMPORTRANGE(""https://docs.google.com/spreadsheets/d/1rEDxBtusbi64tE0zunoIbsTVV16HeL0oJ6trHQeQ7K8/edit?usp=sharing"",""เชียงใหม่!N204"")+IMPORTRANGE(""https://docs.google.com/spreadsheets/d/1W6MnUbDkMi6xHnHko_XkFDO9kkuL6Wqyc-6OCDFjW9I/e"&amp;"dit?usp=sharing"",""ตาก!N204"")+IMPORTRANGE(""https://docs.google.com/spreadsheets/d/1IQAWArduLkta9LpYo4a_ULsyqdta6-6aDDiwpUnQT6c/edit?usp=sharing"",""นครสวรรค์!N204"")+IMPORTRANGE(""https://docs.google.com/spreadsheets/d/10s13Sk5xrltsiR-Zkbmk5DwIaDIKO8Xl"&amp;"bJAfqyT7Gvg/edit?usp=sharing"",""น่าน!N204"")+IMPORTRANGE(""https://docs.google.com/spreadsheets/d/1uu4nAn4Dbi1XREnLKKotUANlKXa7yCgRcgq8HEzQYW8/edit?usp=sharing"",""พะเยา!N204"")+IMPORTRANGE(""https://docs.google.com/spreadsheets/d/1xfJKIQxVOaPDIICqsflNlL"&amp;"u3JacTDk1FP9RH4phX7mI/edit?usp=sharing"",""พิจิตร!N204"")+IMPORTRANGE(""https://docs.google.com/spreadsheets/d/1JtRfZkJMHtEhI5RdRHxYUG4FIZHqKDpNyIuN7A1Q0_k/edit?usp=sharing"",""พิษณุโลก!N204"")+IMPORTRANGE(""https://docs.google.com/spreadsheets/d/1xlcVZWU"&amp;"Nn6SuWm0c307h32SiGkd9BaeQWlAktfD3KO8/edit?usp=sharing"",""เพชรบูรณ์!N204"")+IMPORTRANGE(""https://docs.google.com/spreadsheets/d/1lOVebEIsI9qjGXl6EX66luk7wiuP2tBaryw-wKvv4e0/edit?usp=sharing"",""แพร่!N204"")+IMPORTRANGE(""https://docs.google.com/spreadshe"&amp;"ets/d/1dQrvX0vEcN7Gu0fnZ0B5S90AeR19zth4XlExFBeExMY/edit?usp=sharing"",""แม่ฮ่องสอน!N204"")+IMPORTRANGE(""https://docs.google.com/spreadsheets/d/1DY4XTNNwjluuxqdfdn6qvOSlMRrZqUtmYcZR0ttFiG4/edit?usp=sharing"",""ลำปาง!N204"")+IMPORTRANGE(""https://docs.goog"&amp;"le.com/spreadsheets/d/1ICwG78r0OFT8biBlxnBF8r7she7gNSzOvJ958PWT09c/edit?usp=sharing"",""ลำพูน!N204"")+IMPORTRANGE(""https://docs.google.com/spreadsheets/d/1B0f2xJpZUC6Z0xXnqKlZtEPzsf6L84eP1r1Q15seqRM/edit?usp=sharing"",""สุโขทัย!N204"")+IMPORTRANGE(""http"&amp;"s://docs.google.com/spreadsheets/d/1v0b9pFQCsKUVExMei7AgY2yQkdeNQvtOssygGsXbiKo/edit?usp=sharing"",""อุตรดิตถ์!N204"")+IMPORTRANGE(""https://docs.google.com/spreadsheets/d/1UsNK1e-WWiCo2PvGqdNfdme4m17_Ezd3J69EeeiQPD0/edit?usp=sharing"",""อุทัยธานี!N204"")"),4440)</f>
        <v>4440</v>
      </c>
      <c r="O204" s="182"/>
      <c r="P204" s="58"/>
    </row>
    <row r="205" spans="1:16" ht="18.75" x14ac:dyDescent="0.25">
      <c r="A205" s="274"/>
      <c r="B205" s="278"/>
      <c r="C205" s="53"/>
      <c r="D205" s="293" t="s">
        <v>81</v>
      </c>
      <c r="E205" s="53"/>
      <c r="F205" s="53"/>
      <c r="G205" s="55"/>
      <c r="H205" s="56" t="s">
        <v>12</v>
      </c>
      <c r="I205" s="57"/>
      <c r="J205" s="57"/>
      <c r="K205" s="58"/>
      <c r="L205" s="61">
        <v>0</v>
      </c>
      <c r="M205" s="58"/>
      <c r="N205" s="61">
        <v>0</v>
      </c>
      <c r="O205" s="182"/>
      <c r="P205" s="58"/>
    </row>
    <row r="206" spans="1:16" ht="18.75" x14ac:dyDescent="0.25">
      <c r="A206" s="274"/>
      <c r="B206" s="278"/>
      <c r="C206" s="53"/>
      <c r="D206" s="293" t="s">
        <v>82</v>
      </c>
      <c r="E206" s="53"/>
      <c r="F206" s="53"/>
      <c r="G206" s="55"/>
      <c r="H206" s="56" t="s">
        <v>12</v>
      </c>
      <c r="I206" s="57"/>
      <c r="J206" s="57"/>
      <c r="K206" s="58"/>
      <c r="L206" s="59">
        <f ca="1">IFERROR(__xludf.DUMMYFUNCTION("IMPORTRANGE(""https://docs.google.com/spreadsheets/d/1jTcq05yEiRwXcBMLjiodW9e4biSGYWAHcDj22rKWQ3s/edit?usp=sharing"",""กำแพงเพชร!L206"")+IMPORTRANGE(""https://docs.google.com/spreadsheets/d/1KS0zmDSZPk8KnTAbGN-Xk6MtX1YRZD0ldgdt20K4CRk/edit?usp=sharing"","&amp;"""เชียงราย!L206"")+IMPORTRANGE(""https://docs.google.com/spreadsheets/d/1rEDxBtusbi64tE0zunoIbsTVV16HeL0oJ6trHQeQ7K8/edit?usp=sharing"",""เชียงใหม่!L206"")+IMPORTRANGE(""https://docs.google.com/spreadsheets/d/1W6MnUbDkMi6xHnHko_XkFDO9kkuL6Wqyc-6OCDFjW9I/e"&amp;"dit?usp=sharing"",""ตาก!L206"")+IMPORTRANGE(""https://docs.google.com/spreadsheets/d/1IQAWArduLkta9LpYo4a_ULsyqdta6-6aDDiwpUnQT6c/edit?usp=sharing"",""นครสวรรค์!L206"")+IMPORTRANGE(""https://docs.google.com/spreadsheets/d/10s13Sk5xrltsiR-Zkbmk5DwIaDIKO8Xl"&amp;"bJAfqyT7Gvg/edit?usp=sharing"",""น่าน!L206"")+IMPORTRANGE(""https://docs.google.com/spreadsheets/d/1uu4nAn4Dbi1XREnLKKotUANlKXa7yCgRcgq8HEzQYW8/edit?usp=sharing"",""พะเยา!L206"")+IMPORTRANGE(""https://docs.google.com/spreadsheets/d/1xfJKIQxVOaPDIICqsflNlL"&amp;"u3JacTDk1FP9RH4phX7mI/edit?usp=sharing"",""พิจิตร!L206"")+IMPORTRANGE(""https://docs.google.com/spreadsheets/d/1JtRfZkJMHtEhI5RdRHxYUG4FIZHqKDpNyIuN7A1Q0_k/edit?usp=sharing"",""พิษณุโลก!L206"")+IMPORTRANGE(""https://docs.google.com/spreadsheets/d/1xlcVZWU"&amp;"Nn6SuWm0c307h32SiGkd9BaeQWlAktfD3KO8/edit?usp=sharing"",""เพชรบูรณ์!L206"")+IMPORTRANGE(""https://docs.google.com/spreadsheets/d/1lOVebEIsI9qjGXl6EX66luk7wiuP2tBaryw-wKvv4e0/edit?usp=sharing"",""แพร่!L206"")+IMPORTRANGE(""https://docs.google.com/spreadshe"&amp;"ets/d/1dQrvX0vEcN7Gu0fnZ0B5S90AeR19zth4XlExFBeExMY/edit?usp=sharing"",""แม่ฮ่องสอน!L206"")+IMPORTRANGE(""https://docs.google.com/spreadsheets/d/1DY4XTNNwjluuxqdfdn6qvOSlMRrZqUtmYcZR0ttFiG4/edit?usp=sharing"",""ลำปาง!L206"")+IMPORTRANGE(""https://docs.goog"&amp;"le.com/spreadsheets/d/1ICwG78r0OFT8biBlxnBF8r7she7gNSzOvJ958PWT09c/edit?usp=sharing"",""ลำพูน!L206"")+IMPORTRANGE(""https://docs.google.com/spreadsheets/d/1B0f2xJpZUC6Z0xXnqKlZtEPzsf6L84eP1r1Q15seqRM/edit?usp=sharing"",""สุโขทัย!L206"")+IMPORTRANGE(""http"&amp;"s://docs.google.com/spreadsheets/d/1v0b9pFQCsKUVExMei7AgY2yQkdeNQvtOssygGsXbiKo/edit?usp=sharing"",""อุตรดิตถ์!L206"")+IMPORTRANGE(""https://docs.google.com/spreadsheets/d/1UsNK1e-WWiCo2PvGqdNfdme4m17_Ezd3J69EeeiQPD0/edit?usp=sharing"",""อุทัยธานี!L206"")"),336000)</f>
        <v>336000</v>
      </c>
      <c r="M206" s="58"/>
      <c r="N206" s="59">
        <f ca="1">IFERROR(__xludf.DUMMYFUNCTION("IMPORTRANGE(""https://docs.google.com/spreadsheets/d/1jTcq05yEiRwXcBMLjiodW9e4biSGYWAHcDj22rKWQ3s/edit?usp=sharing"",""กำแพงเพชร!N206"")+IMPORTRANGE(""https://docs.google.com/spreadsheets/d/1KS0zmDSZPk8KnTAbGN-Xk6MtX1YRZD0ldgdt20K4CRk/edit?usp=sharing"","&amp;"""เชียงราย!N206"")+IMPORTRANGE(""https://docs.google.com/spreadsheets/d/1rEDxBtusbi64tE0zunoIbsTVV16HeL0oJ6trHQeQ7K8/edit?usp=sharing"",""เชียงใหม่!N206"")+IMPORTRANGE(""https://docs.google.com/spreadsheets/d/1W6MnUbDkMi6xHnHko_XkFDO9kkuL6Wqyc-6OCDFjW9I/e"&amp;"dit?usp=sharing"",""ตาก!N206"")+IMPORTRANGE(""https://docs.google.com/spreadsheets/d/1IQAWArduLkta9LpYo4a_ULsyqdta6-6aDDiwpUnQT6c/edit?usp=sharing"",""นครสวรรค์!N206"")+IMPORTRANGE(""https://docs.google.com/spreadsheets/d/10s13Sk5xrltsiR-Zkbmk5DwIaDIKO8Xl"&amp;"bJAfqyT7Gvg/edit?usp=sharing"",""น่าน!N206"")+IMPORTRANGE(""https://docs.google.com/spreadsheets/d/1uu4nAn4Dbi1XREnLKKotUANlKXa7yCgRcgq8HEzQYW8/edit?usp=sharing"",""พะเยา!N206"")+IMPORTRANGE(""https://docs.google.com/spreadsheets/d/1xfJKIQxVOaPDIICqsflNlL"&amp;"u3JacTDk1FP9RH4phX7mI/edit?usp=sharing"",""พิจิตร!N206"")+IMPORTRANGE(""https://docs.google.com/spreadsheets/d/1JtRfZkJMHtEhI5RdRHxYUG4FIZHqKDpNyIuN7A1Q0_k/edit?usp=sharing"",""พิษณุโลก!N206"")+IMPORTRANGE(""https://docs.google.com/spreadsheets/d/1xlcVZWU"&amp;"Nn6SuWm0c307h32SiGkd9BaeQWlAktfD3KO8/edit?usp=sharing"",""เพชรบูรณ์!N206"")+IMPORTRANGE(""https://docs.google.com/spreadsheets/d/1lOVebEIsI9qjGXl6EX66luk7wiuP2tBaryw-wKvv4e0/edit?usp=sharing"",""แพร่!N206"")+IMPORTRANGE(""https://docs.google.com/spreadshe"&amp;"ets/d/1dQrvX0vEcN7Gu0fnZ0B5S90AeR19zth4XlExFBeExMY/edit?usp=sharing"",""แม่ฮ่องสอน!N206"")+IMPORTRANGE(""https://docs.google.com/spreadsheets/d/1DY4XTNNwjluuxqdfdn6qvOSlMRrZqUtmYcZR0ttFiG4/edit?usp=sharing"",""ลำปาง!N206"")+IMPORTRANGE(""https://docs.goog"&amp;"le.com/spreadsheets/d/1ICwG78r0OFT8biBlxnBF8r7she7gNSzOvJ958PWT09c/edit?usp=sharing"",""ลำพูน!N206"")+IMPORTRANGE(""https://docs.google.com/spreadsheets/d/1B0f2xJpZUC6Z0xXnqKlZtEPzsf6L84eP1r1Q15seqRM/edit?usp=sharing"",""สุโขทัย!N206"")+IMPORTRANGE(""http"&amp;"s://docs.google.com/spreadsheets/d/1v0b9pFQCsKUVExMei7AgY2yQkdeNQvtOssygGsXbiKo/edit?usp=sharing"",""อุตรดิตถ์!N206"")+IMPORTRANGE(""https://docs.google.com/spreadsheets/d/1UsNK1e-WWiCo2PvGqdNfdme4m17_Ezd3J69EeeiQPD0/edit?usp=sharing"",""อุทัยธานี!N206"")"),30260)</f>
        <v>30260</v>
      </c>
      <c r="O206" s="182"/>
      <c r="P206" s="58"/>
    </row>
    <row r="207" spans="1:16" ht="18.75" x14ac:dyDescent="0.25">
      <c r="A207" s="274"/>
      <c r="B207" s="278"/>
      <c r="C207" s="53"/>
      <c r="D207" s="293" t="s">
        <v>83</v>
      </c>
      <c r="E207" s="53"/>
      <c r="F207" s="53"/>
      <c r="G207" s="55"/>
      <c r="H207" s="56" t="s">
        <v>12</v>
      </c>
      <c r="I207" s="57"/>
      <c r="J207" s="57"/>
      <c r="K207" s="58"/>
      <c r="L207" s="59">
        <f ca="1">IFERROR(__xludf.DUMMYFUNCTION("IMPORTRANGE(""https://docs.google.com/spreadsheets/d/1jTcq05yEiRwXcBMLjiodW9e4biSGYWAHcDj22rKWQ3s/edit?usp=sharing"",""กำแพงเพชร!L207"")+IMPORTRANGE(""https://docs.google.com/spreadsheets/d/1KS0zmDSZPk8KnTAbGN-Xk6MtX1YRZD0ldgdt20K4CRk/edit?usp=sharing"","&amp;"""เชียงราย!L207"")+IMPORTRANGE(""https://docs.google.com/spreadsheets/d/1rEDxBtusbi64tE0zunoIbsTVV16HeL0oJ6trHQeQ7K8/edit?usp=sharing"",""เชียงใหม่!L207"")+IMPORTRANGE(""https://docs.google.com/spreadsheets/d/1W6MnUbDkMi6xHnHko_XkFDO9kkuL6Wqyc-6OCDFjW9I/e"&amp;"dit?usp=sharing"",""ตาก!L207"")+IMPORTRANGE(""https://docs.google.com/spreadsheets/d/1IQAWArduLkta9LpYo4a_ULsyqdta6-6aDDiwpUnQT6c/edit?usp=sharing"",""นครสวรรค์!L207"")+IMPORTRANGE(""https://docs.google.com/spreadsheets/d/10s13Sk5xrltsiR-Zkbmk5DwIaDIKO8Xl"&amp;"bJAfqyT7Gvg/edit?usp=sharing"",""น่าน!L207"")+IMPORTRANGE(""https://docs.google.com/spreadsheets/d/1uu4nAn4Dbi1XREnLKKotUANlKXa7yCgRcgq8HEzQYW8/edit?usp=sharing"",""พะเยา!L207"")+IMPORTRANGE(""https://docs.google.com/spreadsheets/d/1xfJKIQxVOaPDIICqsflNlL"&amp;"u3JacTDk1FP9RH4phX7mI/edit?usp=sharing"",""พิจิตร!L207"")+IMPORTRANGE(""https://docs.google.com/spreadsheets/d/1JtRfZkJMHtEhI5RdRHxYUG4FIZHqKDpNyIuN7A1Q0_k/edit?usp=sharing"",""พิษณุโลก!L207"")+IMPORTRANGE(""https://docs.google.com/spreadsheets/d/1xlcVZWU"&amp;"Nn6SuWm0c307h32SiGkd9BaeQWlAktfD3KO8/edit?usp=sharing"",""เพชรบูรณ์!L207"")+IMPORTRANGE(""https://docs.google.com/spreadsheets/d/1lOVebEIsI9qjGXl6EX66luk7wiuP2tBaryw-wKvv4e0/edit?usp=sharing"",""แพร่!L207"")+IMPORTRANGE(""https://docs.google.com/spreadshe"&amp;"ets/d/1dQrvX0vEcN7Gu0fnZ0B5S90AeR19zth4XlExFBeExMY/edit?usp=sharing"",""แม่ฮ่องสอน!L207"")+IMPORTRANGE(""https://docs.google.com/spreadsheets/d/1DY4XTNNwjluuxqdfdn6qvOSlMRrZqUtmYcZR0ttFiG4/edit?usp=sharing"",""ลำปาง!L207"")+IMPORTRANGE(""https://docs.goog"&amp;"le.com/spreadsheets/d/1ICwG78r0OFT8biBlxnBF8r7she7gNSzOvJ958PWT09c/edit?usp=sharing"",""ลำพูน!L207"")+IMPORTRANGE(""https://docs.google.com/spreadsheets/d/1B0f2xJpZUC6Z0xXnqKlZtEPzsf6L84eP1r1Q15seqRM/edit?usp=sharing"",""สุโขทัย!L207"")+IMPORTRANGE(""http"&amp;"s://docs.google.com/spreadsheets/d/1v0b9pFQCsKUVExMei7AgY2yQkdeNQvtOssygGsXbiKo/edit?usp=sharing"",""อุตรดิตถ์!L207"")+IMPORTRANGE(""https://docs.google.com/spreadsheets/d/1UsNK1e-WWiCo2PvGqdNfdme4m17_Ezd3J69EeeiQPD0/edit?usp=sharing"",""อุทัยธานี!L207"")"),199000)</f>
        <v>199000</v>
      </c>
      <c r="M207" s="58"/>
      <c r="N207" s="59">
        <f ca="1">IFERROR(__xludf.DUMMYFUNCTION("IMPORTRANGE(""https://docs.google.com/spreadsheets/d/1jTcq05yEiRwXcBMLjiodW9e4biSGYWAHcDj22rKWQ3s/edit?usp=sharing"",""กำแพงเพชร!N207"")+IMPORTRANGE(""https://docs.google.com/spreadsheets/d/1KS0zmDSZPk8KnTAbGN-Xk6MtX1YRZD0ldgdt20K4CRk/edit?usp=sharing"","&amp;"""เชียงราย!N207"")+IMPORTRANGE(""https://docs.google.com/spreadsheets/d/1rEDxBtusbi64tE0zunoIbsTVV16HeL0oJ6trHQeQ7K8/edit?usp=sharing"",""เชียงใหม่!N207"")+IMPORTRANGE(""https://docs.google.com/spreadsheets/d/1W6MnUbDkMi6xHnHko_XkFDO9kkuL6Wqyc-6OCDFjW9I/e"&amp;"dit?usp=sharing"",""ตาก!N207"")+IMPORTRANGE(""https://docs.google.com/spreadsheets/d/1IQAWArduLkta9LpYo4a_ULsyqdta6-6aDDiwpUnQT6c/edit?usp=sharing"",""นครสวรรค์!N207"")+IMPORTRANGE(""https://docs.google.com/spreadsheets/d/10s13Sk5xrltsiR-Zkbmk5DwIaDIKO8Xl"&amp;"bJAfqyT7Gvg/edit?usp=sharing"",""น่าน!N207"")+IMPORTRANGE(""https://docs.google.com/spreadsheets/d/1uu4nAn4Dbi1XREnLKKotUANlKXa7yCgRcgq8HEzQYW8/edit?usp=sharing"",""พะเยา!N207"")+IMPORTRANGE(""https://docs.google.com/spreadsheets/d/1xfJKIQxVOaPDIICqsflNlL"&amp;"u3JacTDk1FP9RH4phX7mI/edit?usp=sharing"",""พิจิตร!N207"")+IMPORTRANGE(""https://docs.google.com/spreadsheets/d/1JtRfZkJMHtEhI5RdRHxYUG4FIZHqKDpNyIuN7A1Q0_k/edit?usp=sharing"",""พิษณุโลก!N207"")+IMPORTRANGE(""https://docs.google.com/spreadsheets/d/1xlcVZWU"&amp;"Nn6SuWm0c307h32SiGkd9BaeQWlAktfD3KO8/edit?usp=sharing"",""เพชรบูรณ์!N207"")+IMPORTRANGE(""https://docs.google.com/spreadsheets/d/1lOVebEIsI9qjGXl6EX66luk7wiuP2tBaryw-wKvv4e0/edit?usp=sharing"",""แพร่!N207"")+IMPORTRANGE(""https://docs.google.com/spreadshe"&amp;"ets/d/1dQrvX0vEcN7Gu0fnZ0B5S90AeR19zth4XlExFBeExMY/edit?usp=sharing"",""แม่ฮ่องสอน!N207"")+IMPORTRANGE(""https://docs.google.com/spreadsheets/d/1DY4XTNNwjluuxqdfdn6qvOSlMRrZqUtmYcZR0ttFiG4/edit?usp=sharing"",""ลำปาง!N207"")+IMPORTRANGE(""https://docs.goog"&amp;"le.com/spreadsheets/d/1ICwG78r0OFT8biBlxnBF8r7she7gNSzOvJ958PWT09c/edit?usp=sharing"",""ลำพูน!N207"")+IMPORTRANGE(""https://docs.google.com/spreadsheets/d/1B0f2xJpZUC6Z0xXnqKlZtEPzsf6L84eP1r1Q15seqRM/edit?usp=sharing"",""สุโขทัย!N207"")+IMPORTRANGE(""http"&amp;"s://docs.google.com/spreadsheets/d/1v0b9pFQCsKUVExMei7AgY2yQkdeNQvtOssygGsXbiKo/edit?usp=sharing"",""อุตรดิตถ์!N207"")+IMPORTRANGE(""https://docs.google.com/spreadsheets/d/1UsNK1e-WWiCo2PvGqdNfdme4m17_Ezd3J69EeeiQPD0/edit?usp=sharing"",""อุทัยธานี!N207"")"),0)</f>
        <v>0</v>
      </c>
      <c r="O207" s="182"/>
      <c r="P207" s="58"/>
    </row>
    <row r="208" spans="1:16" ht="19.5" x14ac:dyDescent="0.3">
      <c r="A208" s="167"/>
      <c r="B208" s="168"/>
      <c r="C208" s="158" t="s">
        <v>16</v>
      </c>
      <c r="D208" s="169" t="s">
        <v>36</v>
      </c>
      <c r="E208" s="170"/>
      <c r="F208" s="170"/>
      <c r="G208" s="171"/>
      <c r="H208" s="172"/>
      <c r="I208" s="164"/>
      <c r="J208" s="164"/>
      <c r="K208" s="165"/>
      <c r="L208" s="165"/>
      <c r="M208" s="165"/>
      <c r="N208" s="165"/>
      <c r="O208" s="165"/>
      <c r="P208" s="165"/>
    </row>
    <row r="209" spans="1:16" ht="18.75" x14ac:dyDescent="0.25">
      <c r="A209" s="167"/>
      <c r="B209" s="168"/>
      <c r="C209" s="168"/>
      <c r="D209" s="173" t="s">
        <v>84</v>
      </c>
      <c r="E209" s="174"/>
      <c r="F209" s="174"/>
      <c r="G209" s="172"/>
      <c r="H209" s="294" t="s">
        <v>79</v>
      </c>
      <c r="I209" s="194">
        <f ca="1">IFERROR(__xludf.DUMMYFUNCTION("IMPORTRANGE(""https://docs.google.com/spreadsheets/d/1jTcq05yEiRwXcBMLjiodW9e4biSGYWAHcDj22rKWQ3s/edit?usp=sharing"",""กำแพงเพชร!I209"")+IMPORTRANGE(""https://docs.google.com/spreadsheets/d/1KS0zmDSZPk8KnTAbGN-Xk6MtX1YRZD0ldgdt20K4CRk/edit?usp=sharing"","&amp;"""เชียงราย!I209"")+IMPORTRANGE(""https://docs.google.com/spreadsheets/d/1rEDxBtusbi64tE0zunoIbsTVV16HeL0oJ6trHQeQ7K8/edit?usp=sharing"",""เชียงใหม่!I209"")+IMPORTRANGE(""https://docs.google.com/spreadsheets/d/1W6MnUbDkMi6xHnHko_XkFDO9kkuL6Wqyc-6OCDFjW9I/e"&amp;"dit?usp=sharing"",""ตาก!I209"")+IMPORTRANGE(""https://docs.google.com/spreadsheets/d/1IQAWArduLkta9LpYo4a_ULsyqdta6-6aDDiwpUnQT6c/edit?usp=sharing"",""นครสวรรค์!I209"")+IMPORTRANGE(""https://docs.google.com/spreadsheets/d/10s13Sk5xrltsiR-Zkbmk5DwIaDIKO8Xl"&amp;"bJAfqyT7Gvg/edit?usp=sharing"",""น่าน!I209"")+IMPORTRANGE(""https://docs.google.com/spreadsheets/d/1uu4nAn4Dbi1XREnLKKotUANlKXa7yCgRcgq8HEzQYW8/edit?usp=sharing"",""พะเยา!I209"")+IMPORTRANGE(""https://docs.google.com/spreadsheets/d/1xfJKIQxVOaPDIICqsflNlL"&amp;"u3JacTDk1FP9RH4phX7mI/edit?usp=sharing"",""พิจิตร!I209"")+IMPORTRANGE(""https://docs.google.com/spreadsheets/d/1JtRfZkJMHtEhI5RdRHxYUG4FIZHqKDpNyIuN7A1Q0_k/edit?usp=sharing"",""พิษณุโลก!I209"")+IMPORTRANGE(""https://docs.google.com/spreadsheets/d/1xlcVZWU"&amp;"Nn6SuWm0c307h32SiGkd9BaeQWlAktfD3KO8/edit?usp=sharing"",""เพชรบูรณ์!I209"")+IMPORTRANGE(""https://docs.google.com/spreadsheets/d/1lOVebEIsI9qjGXl6EX66luk7wiuP2tBaryw-wKvv4e0/edit?usp=sharing"",""แพร่!I209"")+IMPORTRANGE(""https://docs.google.com/spreadshe"&amp;"ets/d/1dQrvX0vEcN7Gu0fnZ0B5S90AeR19zth4XlExFBeExMY/edit?usp=sharing"",""แม่ฮ่องสอน!I209"")+IMPORTRANGE(""https://docs.google.com/spreadsheets/d/1DY4XTNNwjluuxqdfdn6qvOSlMRrZqUtmYcZR0ttFiG4/edit?usp=sharing"",""ลำปาง!I209"")+IMPORTRANGE(""https://docs.goog"&amp;"le.com/spreadsheets/d/1ICwG78r0OFT8biBlxnBF8r7she7gNSzOvJ958PWT09c/edit?usp=sharing"",""ลำพูน!I209"")+IMPORTRANGE(""https://docs.google.com/spreadsheets/d/1B0f2xJpZUC6Z0xXnqKlZtEPzsf6L84eP1r1Q15seqRM/edit?usp=sharing"",""สุโขทัย!I209"")+IMPORTRANGE(""http"&amp;"s://docs.google.com/spreadsheets/d/1v0b9pFQCsKUVExMei7AgY2yQkdeNQvtOssygGsXbiKo/edit?usp=sharing"",""อุตรดิตถ์!I209"")+IMPORTRANGE(""https://docs.google.com/spreadsheets/d/1UsNK1e-WWiCo2PvGqdNfdme4m17_Ezd3J69EeeiQPD0/edit?usp=sharing"",""อุทัยธานี!I209"")"),42)</f>
        <v>42</v>
      </c>
      <c r="J209" s="181">
        <f ca="1">IFERROR(__xludf.DUMMYFUNCTION("IMPORTRANGE(""https://docs.google.com/spreadsheets/d/1jTcq05yEiRwXcBMLjiodW9e4biSGYWAHcDj22rKWQ3s/edit?usp=sharing"",""กำแพงเพชร!J209"")+IMPORTRANGE(""https://docs.google.com/spreadsheets/d/1KS0zmDSZPk8KnTAbGN-Xk6MtX1YRZD0ldgdt20K4CRk/edit?usp=sharing"","&amp;"""เชียงราย!J209"")+IMPORTRANGE(""https://docs.google.com/spreadsheets/d/1rEDxBtusbi64tE0zunoIbsTVV16HeL0oJ6trHQeQ7K8/edit?usp=sharing"",""เชียงใหม่!J209"")+IMPORTRANGE(""https://docs.google.com/spreadsheets/d/1W6MnUbDkMi6xHnHko_XkFDO9kkuL6Wqyc-6OCDFjW9I/e"&amp;"dit?usp=sharing"",""ตาก!J209"")+IMPORTRANGE(""https://docs.google.com/spreadsheets/d/1IQAWArduLkta9LpYo4a_ULsyqdta6-6aDDiwpUnQT6c/edit?usp=sharing"",""นครสวรรค์!J209"")+IMPORTRANGE(""https://docs.google.com/spreadsheets/d/10s13Sk5xrltsiR-Zkbmk5DwIaDIKO8Xl"&amp;"bJAfqyT7Gvg/edit?usp=sharing"",""น่าน!J209"")+IMPORTRANGE(""https://docs.google.com/spreadsheets/d/1uu4nAn4Dbi1XREnLKKotUANlKXa7yCgRcgq8HEzQYW8/edit?usp=sharing"",""พะเยา!J209"")+IMPORTRANGE(""https://docs.google.com/spreadsheets/d/1xfJKIQxVOaPDIICqsflNlL"&amp;"u3JacTDk1FP9RH4phX7mI/edit?usp=sharing"",""พิจิตร!J209"")+IMPORTRANGE(""https://docs.google.com/spreadsheets/d/1JtRfZkJMHtEhI5RdRHxYUG4FIZHqKDpNyIuN7A1Q0_k/edit?usp=sharing"",""พิษณุโลก!J209"")+IMPORTRANGE(""https://docs.google.com/spreadsheets/d/1xlcVZWU"&amp;"Nn6SuWm0c307h32SiGkd9BaeQWlAktfD3KO8/edit?usp=sharing"",""เพชรบูรณ์!J209"")+IMPORTRANGE(""https://docs.google.com/spreadsheets/d/1lOVebEIsI9qjGXl6EX66luk7wiuP2tBaryw-wKvv4e0/edit?usp=sharing"",""แพร่!J209"")+IMPORTRANGE(""https://docs.google.com/spreadshe"&amp;"ets/d/1dQrvX0vEcN7Gu0fnZ0B5S90AeR19zth4XlExFBeExMY/edit?usp=sharing"",""แม่ฮ่องสอน!J209"")+IMPORTRANGE(""https://docs.google.com/spreadsheets/d/1DY4XTNNwjluuxqdfdn6qvOSlMRrZqUtmYcZR0ttFiG4/edit?usp=sharing"",""ลำปาง!J209"")+IMPORTRANGE(""https://docs.goog"&amp;"le.com/spreadsheets/d/1ICwG78r0OFT8biBlxnBF8r7she7gNSzOvJ958PWT09c/edit?usp=sharing"",""ลำพูน!J209"")+IMPORTRANGE(""https://docs.google.com/spreadsheets/d/1B0f2xJpZUC6Z0xXnqKlZtEPzsf6L84eP1r1Q15seqRM/edit?usp=sharing"",""สุโขทัย!J209"")+IMPORTRANGE(""http"&amp;"s://docs.google.com/spreadsheets/d/1v0b9pFQCsKUVExMei7AgY2yQkdeNQvtOssygGsXbiKo/edit?usp=sharing"",""อุตรดิตถ์!J209"")+IMPORTRANGE(""https://docs.google.com/spreadsheets/d/1UsNK1e-WWiCo2PvGqdNfdme4m17_Ezd3J69EeeiQPD0/edit?usp=sharing"",""อุทัยธานี!J209"")"),4)</f>
        <v>4</v>
      </c>
      <c r="K209" s="182">
        <f ca="1">IF(I209&gt;0,J209*100/I209,0)</f>
        <v>9.5238095238095237</v>
      </c>
      <c r="L209" s="58"/>
      <c r="M209" s="58"/>
      <c r="N209" s="58"/>
      <c r="O209" s="58"/>
      <c r="P209" s="58"/>
    </row>
    <row r="210" spans="1:16" ht="18.75" x14ac:dyDescent="0.25">
      <c r="A210" s="167"/>
      <c r="B210" s="168"/>
      <c r="C210" s="168"/>
      <c r="D210" s="193" t="s">
        <v>48</v>
      </c>
      <c r="E210" s="174"/>
      <c r="F210" s="174"/>
      <c r="G210" s="172"/>
      <c r="H210" s="172"/>
      <c r="I210" s="57"/>
      <c r="J210" s="57"/>
      <c r="K210" s="165"/>
      <c r="L210" s="58"/>
      <c r="M210" s="58"/>
      <c r="N210" s="58"/>
      <c r="O210" s="58"/>
      <c r="P210" s="58"/>
    </row>
    <row r="211" spans="1:16" ht="18.75" x14ac:dyDescent="0.25">
      <c r="A211" s="167"/>
      <c r="B211" s="168"/>
      <c r="C211" s="168"/>
      <c r="D211" s="174"/>
      <c r="E211" s="193" t="s">
        <v>85</v>
      </c>
      <c r="F211" s="174"/>
      <c r="G211" s="172"/>
      <c r="H211" s="294" t="s">
        <v>79</v>
      </c>
      <c r="I211" s="181">
        <v>0</v>
      </c>
      <c r="J211" s="181">
        <f ca="1">IFERROR(__xludf.DUMMYFUNCTION("IMPORTRANGE(""https://docs.google.com/spreadsheets/d/1jTcq05yEiRwXcBMLjiodW9e4biSGYWAHcDj22rKWQ3s/edit?usp=sharing"",""กำแพงเพชร!J211"")+IMPORTRANGE(""https://docs.google.com/spreadsheets/d/1KS0zmDSZPk8KnTAbGN-Xk6MtX1YRZD0ldgdt20K4CRk/edit?usp=sharing"","&amp;"""เชียงราย!J211"")+IMPORTRANGE(""https://docs.google.com/spreadsheets/d/1rEDxBtusbi64tE0zunoIbsTVV16HeL0oJ6trHQeQ7K8/edit?usp=sharing"",""เชียงใหม่!J211"")+IMPORTRANGE(""https://docs.google.com/spreadsheets/d/1W6MnUbDkMi6xHnHko_XkFDO9kkuL6Wqyc-6OCDFjW9I/e"&amp;"dit?usp=sharing"",""ตาก!J211"")+IMPORTRANGE(""https://docs.google.com/spreadsheets/d/1IQAWArduLkta9LpYo4a_ULsyqdta6-6aDDiwpUnQT6c/edit?usp=sharing"",""นครสวรรค์!J211"")+IMPORTRANGE(""https://docs.google.com/spreadsheets/d/10s13Sk5xrltsiR-Zkbmk5DwIaDIKO8Xl"&amp;"bJAfqyT7Gvg/edit?usp=sharing"",""น่าน!J211"")+IMPORTRANGE(""https://docs.google.com/spreadsheets/d/1uu4nAn4Dbi1XREnLKKotUANlKXa7yCgRcgq8HEzQYW8/edit?usp=sharing"",""พะเยา!J211"")+IMPORTRANGE(""https://docs.google.com/spreadsheets/d/1xfJKIQxVOaPDIICqsflNlL"&amp;"u3JacTDk1FP9RH4phX7mI/edit?usp=sharing"",""พิจิตร!J211"")+IMPORTRANGE(""https://docs.google.com/spreadsheets/d/1JtRfZkJMHtEhI5RdRHxYUG4FIZHqKDpNyIuN7A1Q0_k/edit?usp=sharing"",""พิษณุโลก!J211"")+IMPORTRANGE(""https://docs.google.com/spreadsheets/d/1xlcVZWU"&amp;"Nn6SuWm0c307h32SiGkd9BaeQWlAktfD3KO8/edit?usp=sharing"",""เพชรบูรณ์!J211"")+IMPORTRANGE(""https://docs.google.com/spreadsheets/d/1lOVebEIsI9qjGXl6EX66luk7wiuP2tBaryw-wKvv4e0/edit?usp=sharing"",""แพร่!J211"")+IMPORTRANGE(""https://docs.google.com/spreadshe"&amp;"ets/d/1dQrvX0vEcN7Gu0fnZ0B5S90AeR19zth4XlExFBeExMY/edit?usp=sharing"",""แม่ฮ่องสอน!J211"")+IMPORTRANGE(""https://docs.google.com/spreadsheets/d/1DY4XTNNwjluuxqdfdn6qvOSlMRrZqUtmYcZR0ttFiG4/edit?usp=sharing"",""ลำปาง!J211"")+IMPORTRANGE(""https://docs.goog"&amp;"le.com/spreadsheets/d/1ICwG78r0OFT8biBlxnBF8r7she7gNSzOvJ958PWT09c/edit?usp=sharing"",""ลำพูน!J211"")+IMPORTRANGE(""https://docs.google.com/spreadsheets/d/1B0f2xJpZUC6Z0xXnqKlZtEPzsf6L84eP1r1Q15seqRM/edit?usp=sharing"",""สุโขทัย!J211"")+IMPORTRANGE(""http"&amp;"s://docs.google.com/spreadsheets/d/1v0b9pFQCsKUVExMei7AgY2yQkdeNQvtOssygGsXbiKo/edit?usp=sharing"",""อุตรดิตถ์!J211"")+IMPORTRANGE(""https://docs.google.com/spreadsheets/d/1UsNK1e-WWiCo2PvGqdNfdme4m17_Ezd3J69EeeiQPD0/edit?usp=sharing"",""อุทัยธานี!J211"")"),0)</f>
        <v>0</v>
      </c>
      <c r="K211" s="182">
        <f t="shared" ref="K211:K213" si="103">IF(I211&gt;0,J211*100/I211,0)</f>
        <v>0</v>
      </c>
      <c r="L211" s="58"/>
      <c r="M211" s="58"/>
      <c r="N211" s="58"/>
      <c r="O211" s="58"/>
      <c r="P211" s="58"/>
    </row>
    <row r="212" spans="1:16" ht="18.75" x14ac:dyDescent="0.25">
      <c r="A212" s="167"/>
      <c r="B212" s="168"/>
      <c r="C212" s="168"/>
      <c r="D212" s="174"/>
      <c r="E212" s="193" t="s">
        <v>86</v>
      </c>
      <c r="F212" s="174"/>
      <c r="G212" s="174"/>
      <c r="H212" s="295" t="s">
        <v>87</v>
      </c>
      <c r="I212" s="181">
        <v>0</v>
      </c>
      <c r="J212" s="181">
        <f ca="1">IFERROR(__xludf.DUMMYFUNCTION("IMPORTRANGE(""https://docs.google.com/spreadsheets/d/1jTcq05yEiRwXcBMLjiodW9e4biSGYWAHcDj22rKWQ3s/edit?usp=sharing"",""กำแพงเพชร!J212"")+IMPORTRANGE(""https://docs.google.com/spreadsheets/d/1KS0zmDSZPk8KnTAbGN-Xk6MtX1YRZD0ldgdt20K4CRk/edit?usp=sharing"","&amp;"""เชียงราย!J212"")+IMPORTRANGE(""https://docs.google.com/spreadsheets/d/1rEDxBtusbi64tE0zunoIbsTVV16HeL0oJ6trHQeQ7K8/edit?usp=sharing"",""เชียงใหม่!J212"")+IMPORTRANGE(""https://docs.google.com/spreadsheets/d/1W6MnUbDkMi6xHnHko_XkFDO9kkuL6Wqyc-6OCDFjW9I/e"&amp;"dit?usp=sharing"",""ตาก!J212"")+IMPORTRANGE(""https://docs.google.com/spreadsheets/d/1IQAWArduLkta9LpYo4a_ULsyqdta6-6aDDiwpUnQT6c/edit?usp=sharing"",""นครสวรรค์!J212"")+IMPORTRANGE(""https://docs.google.com/spreadsheets/d/10s13Sk5xrltsiR-Zkbmk5DwIaDIKO8Xl"&amp;"bJAfqyT7Gvg/edit?usp=sharing"",""น่าน!J212"")+IMPORTRANGE(""https://docs.google.com/spreadsheets/d/1uu4nAn4Dbi1XREnLKKotUANlKXa7yCgRcgq8HEzQYW8/edit?usp=sharing"",""พะเยา!J212"")+IMPORTRANGE(""https://docs.google.com/spreadsheets/d/1xfJKIQxVOaPDIICqsflNlL"&amp;"u3JacTDk1FP9RH4phX7mI/edit?usp=sharing"",""พิจิตร!J212"")+IMPORTRANGE(""https://docs.google.com/spreadsheets/d/1JtRfZkJMHtEhI5RdRHxYUG4FIZHqKDpNyIuN7A1Q0_k/edit?usp=sharing"",""พิษณุโลก!J212"")+IMPORTRANGE(""https://docs.google.com/spreadsheets/d/1xlcVZWU"&amp;"Nn6SuWm0c307h32SiGkd9BaeQWlAktfD3KO8/edit?usp=sharing"",""เพชรบูรณ์!J212"")+IMPORTRANGE(""https://docs.google.com/spreadsheets/d/1lOVebEIsI9qjGXl6EX66luk7wiuP2tBaryw-wKvv4e0/edit?usp=sharing"",""แพร่!J212"")+IMPORTRANGE(""https://docs.google.com/spreadshe"&amp;"ets/d/1dQrvX0vEcN7Gu0fnZ0B5S90AeR19zth4XlExFBeExMY/edit?usp=sharing"",""แม่ฮ่องสอน!J212"")+IMPORTRANGE(""https://docs.google.com/spreadsheets/d/1DY4XTNNwjluuxqdfdn6qvOSlMRrZqUtmYcZR0ttFiG4/edit?usp=sharing"",""ลำปาง!J212"")+IMPORTRANGE(""https://docs.goog"&amp;"le.com/spreadsheets/d/1ICwG78r0OFT8biBlxnBF8r7she7gNSzOvJ958PWT09c/edit?usp=sharing"",""ลำพูน!J212"")+IMPORTRANGE(""https://docs.google.com/spreadsheets/d/1B0f2xJpZUC6Z0xXnqKlZtEPzsf6L84eP1r1Q15seqRM/edit?usp=sharing"",""สุโขทัย!J212"")+IMPORTRANGE(""http"&amp;"s://docs.google.com/spreadsheets/d/1v0b9pFQCsKUVExMei7AgY2yQkdeNQvtOssygGsXbiKo/edit?usp=sharing"",""อุตรดิตถ์!J212"")+IMPORTRANGE(""https://docs.google.com/spreadsheets/d/1UsNK1e-WWiCo2PvGqdNfdme4m17_Ezd3J69EeeiQPD0/edit?usp=sharing"",""อุทัยธานี!J212"")"),0)</f>
        <v>0</v>
      </c>
      <c r="K212" s="182">
        <f t="shared" si="103"/>
        <v>0</v>
      </c>
      <c r="L212" s="58"/>
      <c r="M212" s="58"/>
      <c r="N212" s="58"/>
      <c r="O212" s="58"/>
      <c r="P212" s="58"/>
    </row>
    <row r="213" spans="1:16" ht="19.5" x14ac:dyDescent="0.3">
      <c r="A213" s="279"/>
      <c r="B213" s="280"/>
      <c r="C213" s="281" t="s">
        <v>88</v>
      </c>
      <c r="D213" s="282"/>
      <c r="E213" s="282"/>
      <c r="F213" s="282"/>
      <c r="G213" s="283"/>
      <c r="H213" s="291" t="s">
        <v>79</v>
      </c>
      <c r="I213" s="285">
        <f t="shared" ref="I213:J213" ca="1" si="104">I220</f>
        <v>4</v>
      </c>
      <c r="J213" s="285">
        <f t="shared" ca="1" si="104"/>
        <v>0</v>
      </c>
      <c r="K213" s="286">
        <f t="shared" ca="1" si="103"/>
        <v>0</v>
      </c>
      <c r="L213" s="287"/>
      <c r="M213" s="287"/>
      <c r="N213" s="287"/>
      <c r="O213" s="287"/>
      <c r="P213" s="287"/>
    </row>
    <row r="214" spans="1:16" ht="19.5" x14ac:dyDescent="0.3">
      <c r="A214" s="157"/>
      <c r="B214" s="53"/>
      <c r="C214" s="158" t="s">
        <v>16</v>
      </c>
      <c r="D214" s="288" t="s">
        <v>17</v>
      </c>
      <c r="E214" s="53"/>
      <c r="F214" s="53"/>
      <c r="G214" s="55"/>
      <c r="H214" s="289" t="s">
        <v>12</v>
      </c>
      <c r="I214" s="164"/>
      <c r="J214" s="164"/>
      <c r="K214" s="165"/>
      <c r="L214" s="161">
        <f ca="1">L215+L216+L217</f>
        <v>56000</v>
      </c>
      <c r="M214" s="58"/>
      <c r="N214" s="161">
        <f ca="1">N215+N216+N217</f>
        <v>0</v>
      </c>
      <c r="O214" s="161">
        <f ca="1">IF(L214&gt;0,N214*100/L214,0)</f>
        <v>0</v>
      </c>
      <c r="P214" s="161"/>
    </row>
    <row r="215" spans="1:16" ht="18.75" x14ac:dyDescent="0.25">
      <c r="A215" s="157"/>
      <c r="B215" s="278"/>
      <c r="C215" s="53"/>
      <c r="D215" s="60" t="s">
        <v>80</v>
      </c>
      <c r="E215" s="53"/>
      <c r="F215" s="53"/>
      <c r="G215" s="55"/>
      <c r="H215" s="163" t="s">
        <v>12</v>
      </c>
      <c r="I215" s="164"/>
      <c r="J215" s="164"/>
      <c r="K215" s="165"/>
      <c r="L215" s="59">
        <f ca="1">IFERROR(__xludf.DUMMYFUNCTION("IMPORTRANGE(""https://docs.google.com/spreadsheets/d/1jTcq05yEiRwXcBMLjiodW9e4biSGYWAHcDj22rKWQ3s/edit?usp=sharing"",""กำแพงเพชร!L215"")+IMPORTRANGE(""https://docs.google.com/spreadsheets/d/1KS0zmDSZPk8KnTAbGN-Xk6MtX1YRZD0ldgdt20K4CRk/edit?usp=sharing"","&amp;"""เชียงราย!L215"")+IMPORTRANGE(""https://docs.google.com/spreadsheets/d/1rEDxBtusbi64tE0zunoIbsTVV16HeL0oJ6trHQeQ7K8/edit?usp=sharing"",""เชียงใหม่!L215"")+IMPORTRANGE(""https://docs.google.com/spreadsheets/d/1W6MnUbDkMi6xHnHko_XkFDO9kkuL6Wqyc-6OCDFjW9I/e"&amp;"dit?usp=sharing"",""ตาก!L215"")+IMPORTRANGE(""https://docs.google.com/spreadsheets/d/1IQAWArduLkta9LpYo4a_ULsyqdta6-6aDDiwpUnQT6c/edit?usp=sharing"",""นครสวรรค์!L215"")+IMPORTRANGE(""https://docs.google.com/spreadsheets/d/10s13Sk5xrltsiR-Zkbmk5DwIaDIKO8Xl"&amp;"bJAfqyT7Gvg/edit?usp=sharing"",""น่าน!L215"")+IMPORTRANGE(""https://docs.google.com/spreadsheets/d/1uu4nAn4Dbi1XREnLKKotUANlKXa7yCgRcgq8HEzQYW8/edit?usp=sharing"",""พะเยา!L215"")+IMPORTRANGE(""https://docs.google.com/spreadsheets/d/1xfJKIQxVOaPDIICqsflNlL"&amp;"u3JacTDk1FP9RH4phX7mI/edit?usp=sharing"",""พิจิตร!L215"")+IMPORTRANGE(""https://docs.google.com/spreadsheets/d/1JtRfZkJMHtEhI5RdRHxYUG4FIZHqKDpNyIuN7A1Q0_k/edit?usp=sharing"",""พิษณุโลก!L215"")+IMPORTRANGE(""https://docs.google.com/spreadsheets/d/1xlcVZWU"&amp;"Nn6SuWm0c307h32SiGkd9BaeQWlAktfD3KO8/edit?usp=sharing"",""เพชรบูรณ์!L215"")+IMPORTRANGE(""https://docs.google.com/spreadsheets/d/1lOVebEIsI9qjGXl6EX66luk7wiuP2tBaryw-wKvv4e0/edit?usp=sharing"",""แพร่!L215"")+IMPORTRANGE(""https://docs.google.com/spreadshe"&amp;"ets/d/1dQrvX0vEcN7Gu0fnZ0B5S90AeR19zth4XlExFBeExMY/edit?usp=sharing"",""แม่ฮ่องสอน!L215"")+IMPORTRANGE(""https://docs.google.com/spreadsheets/d/1DY4XTNNwjluuxqdfdn6qvOSlMRrZqUtmYcZR0ttFiG4/edit?usp=sharing"",""ลำปาง!L215"")+IMPORTRANGE(""https://docs.goog"&amp;"le.com/spreadsheets/d/1ICwG78r0OFT8biBlxnBF8r7she7gNSzOvJ958PWT09c/edit?usp=sharing"",""ลำพูน!L215"")+IMPORTRANGE(""https://docs.google.com/spreadsheets/d/1B0f2xJpZUC6Z0xXnqKlZtEPzsf6L84eP1r1Q15seqRM/edit?usp=sharing"",""สุโขทัย!L215"")+IMPORTRANGE(""http"&amp;"s://docs.google.com/spreadsheets/d/1v0b9pFQCsKUVExMei7AgY2yQkdeNQvtOssygGsXbiKo/edit?usp=sharing"",""อุตรดิตถ์!L215"")+IMPORTRANGE(""https://docs.google.com/spreadsheets/d/1UsNK1e-WWiCo2PvGqdNfdme4m17_Ezd3J69EeeiQPD0/edit?usp=sharing"",""อุทัยธานี!L215"")"),4000)</f>
        <v>4000</v>
      </c>
      <c r="M215" s="58"/>
      <c r="N215" s="59">
        <f ca="1">IFERROR(__xludf.DUMMYFUNCTION("IMPORTRANGE(""https://docs.google.com/spreadsheets/d/1jTcq05yEiRwXcBMLjiodW9e4biSGYWAHcDj22rKWQ3s/edit?usp=sharing"",""กำแพงเพชร!N215"")+IMPORTRANGE(""https://docs.google.com/spreadsheets/d/1KS0zmDSZPk8KnTAbGN-Xk6MtX1YRZD0ldgdt20K4CRk/edit?usp=sharing"","&amp;"""เชียงราย!N215"")+IMPORTRANGE(""https://docs.google.com/spreadsheets/d/1rEDxBtusbi64tE0zunoIbsTVV16HeL0oJ6trHQeQ7K8/edit?usp=sharing"",""เชียงใหม่!N215"")+IMPORTRANGE(""https://docs.google.com/spreadsheets/d/1W6MnUbDkMi6xHnHko_XkFDO9kkuL6Wqyc-6OCDFjW9I/e"&amp;"dit?usp=sharing"",""ตาก!N215"")+IMPORTRANGE(""https://docs.google.com/spreadsheets/d/1IQAWArduLkta9LpYo4a_ULsyqdta6-6aDDiwpUnQT6c/edit?usp=sharing"",""นครสวรรค์!N215"")+IMPORTRANGE(""https://docs.google.com/spreadsheets/d/10s13Sk5xrltsiR-Zkbmk5DwIaDIKO8Xl"&amp;"bJAfqyT7Gvg/edit?usp=sharing"",""น่าน!N215"")+IMPORTRANGE(""https://docs.google.com/spreadsheets/d/1uu4nAn4Dbi1XREnLKKotUANlKXa7yCgRcgq8HEzQYW8/edit?usp=sharing"",""พะเยา!N215"")+IMPORTRANGE(""https://docs.google.com/spreadsheets/d/1xfJKIQxVOaPDIICqsflNlL"&amp;"u3JacTDk1FP9RH4phX7mI/edit?usp=sharing"",""พิจิตร!N215"")+IMPORTRANGE(""https://docs.google.com/spreadsheets/d/1JtRfZkJMHtEhI5RdRHxYUG4FIZHqKDpNyIuN7A1Q0_k/edit?usp=sharing"",""พิษณุโลก!N215"")+IMPORTRANGE(""https://docs.google.com/spreadsheets/d/1xlcVZWU"&amp;"Nn6SuWm0c307h32SiGkd9BaeQWlAktfD3KO8/edit?usp=sharing"",""เพชรบูรณ์!N215"")+IMPORTRANGE(""https://docs.google.com/spreadsheets/d/1lOVebEIsI9qjGXl6EX66luk7wiuP2tBaryw-wKvv4e0/edit?usp=sharing"",""แพร่!N215"")+IMPORTRANGE(""https://docs.google.com/spreadshe"&amp;"ets/d/1dQrvX0vEcN7Gu0fnZ0B5S90AeR19zth4XlExFBeExMY/edit?usp=sharing"",""แม่ฮ่องสอน!N215"")+IMPORTRANGE(""https://docs.google.com/spreadsheets/d/1DY4XTNNwjluuxqdfdn6qvOSlMRrZqUtmYcZR0ttFiG4/edit?usp=sharing"",""ลำปาง!N215"")+IMPORTRANGE(""https://docs.goog"&amp;"le.com/spreadsheets/d/1ICwG78r0OFT8biBlxnBF8r7she7gNSzOvJ958PWT09c/edit?usp=sharing"",""ลำพูน!N215"")+IMPORTRANGE(""https://docs.google.com/spreadsheets/d/1B0f2xJpZUC6Z0xXnqKlZtEPzsf6L84eP1r1Q15seqRM/edit?usp=sharing"",""สุโขทัย!N215"")+IMPORTRANGE(""http"&amp;"s://docs.google.com/spreadsheets/d/1v0b9pFQCsKUVExMei7AgY2yQkdeNQvtOssygGsXbiKo/edit?usp=sharing"",""อุตรดิตถ์!N215"")+IMPORTRANGE(""https://docs.google.com/spreadsheets/d/1UsNK1e-WWiCo2PvGqdNfdme4m17_Ezd3J69EeeiQPD0/edit?usp=sharing"",""อุทัยธานี!N215"")"),0)</f>
        <v>0</v>
      </c>
      <c r="O215" s="182"/>
      <c r="P215" s="58"/>
    </row>
    <row r="216" spans="1:16" ht="18.75" x14ac:dyDescent="0.25">
      <c r="A216" s="274"/>
      <c r="B216" s="278"/>
      <c r="C216" s="278"/>
      <c r="D216" s="60" t="s">
        <v>89</v>
      </c>
      <c r="E216" s="53"/>
      <c r="F216" s="53"/>
      <c r="G216" s="55"/>
      <c r="H216" s="163" t="s">
        <v>12</v>
      </c>
      <c r="I216" s="57"/>
      <c r="J216" s="57"/>
      <c r="K216" s="58"/>
      <c r="L216" s="59">
        <f ca="1">IFERROR(__xludf.DUMMYFUNCTION("IMPORTRANGE(""https://docs.google.com/spreadsheets/d/1jTcq05yEiRwXcBMLjiodW9e4biSGYWAHcDj22rKWQ3s/edit?usp=sharing"",""กำแพงเพชร!L216"")+IMPORTRANGE(""https://docs.google.com/spreadsheets/d/1KS0zmDSZPk8KnTAbGN-Xk6MtX1YRZD0ldgdt20K4CRk/edit?usp=sharing"","&amp;"""เชียงราย!L216"")+IMPORTRANGE(""https://docs.google.com/spreadsheets/d/1rEDxBtusbi64tE0zunoIbsTVV16HeL0oJ6trHQeQ7K8/edit?usp=sharing"",""เชียงใหม่!L216"")+IMPORTRANGE(""https://docs.google.com/spreadsheets/d/1W6MnUbDkMi6xHnHko_XkFDO9kkuL6Wqyc-6OCDFjW9I/e"&amp;"dit?usp=sharing"",""ตาก!L216"")+IMPORTRANGE(""https://docs.google.com/spreadsheets/d/1IQAWArduLkta9LpYo4a_ULsyqdta6-6aDDiwpUnQT6c/edit?usp=sharing"",""นครสวรรค์!L216"")+IMPORTRANGE(""https://docs.google.com/spreadsheets/d/10s13Sk5xrltsiR-Zkbmk5DwIaDIKO8Xl"&amp;"bJAfqyT7Gvg/edit?usp=sharing"",""น่าน!L216"")+IMPORTRANGE(""https://docs.google.com/spreadsheets/d/1uu4nAn4Dbi1XREnLKKotUANlKXa7yCgRcgq8HEzQYW8/edit?usp=sharing"",""พะเยา!L216"")+IMPORTRANGE(""https://docs.google.com/spreadsheets/d/1xfJKIQxVOaPDIICqsflNlL"&amp;"u3JacTDk1FP9RH4phX7mI/edit?usp=sharing"",""พิจิตร!L216"")+IMPORTRANGE(""https://docs.google.com/spreadsheets/d/1JtRfZkJMHtEhI5RdRHxYUG4FIZHqKDpNyIuN7A1Q0_k/edit?usp=sharing"",""พิษณุโลก!L216"")+IMPORTRANGE(""https://docs.google.com/spreadsheets/d/1xlcVZWU"&amp;"Nn6SuWm0c307h32SiGkd9BaeQWlAktfD3KO8/edit?usp=sharing"",""เพชรบูรณ์!L216"")+IMPORTRANGE(""https://docs.google.com/spreadsheets/d/1lOVebEIsI9qjGXl6EX66luk7wiuP2tBaryw-wKvv4e0/edit?usp=sharing"",""แพร่!L216"")+IMPORTRANGE(""https://docs.google.com/spreadshe"&amp;"ets/d/1dQrvX0vEcN7Gu0fnZ0B5S90AeR19zth4XlExFBeExMY/edit?usp=sharing"",""แม่ฮ่องสอน!L216"")+IMPORTRANGE(""https://docs.google.com/spreadsheets/d/1DY4XTNNwjluuxqdfdn6qvOSlMRrZqUtmYcZR0ttFiG4/edit?usp=sharing"",""ลำปาง!L216"")+IMPORTRANGE(""https://docs.goog"&amp;"le.com/spreadsheets/d/1ICwG78r0OFT8biBlxnBF8r7she7gNSzOvJ958PWT09c/edit?usp=sharing"",""ลำพูน!L216"")+IMPORTRANGE(""https://docs.google.com/spreadsheets/d/1B0f2xJpZUC6Z0xXnqKlZtEPzsf6L84eP1r1Q15seqRM/edit?usp=sharing"",""สุโขทัย!L216"")+IMPORTRANGE(""http"&amp;"s://docs.google.com/spreadsheets/d/1v0b9pFQCsKUVExMei7AgY2yQkdeNQvtOssygGsXbiKo/edit?usp=sharing"",""อุตรดิตถ์!L216"")+IMPORTRANGE(""https://docs.google.com/spreadsheets/d/1UsNK1e-WWiCo2PvGqdNfdme4m17_Ezd3J69EeeiQPD0/edit?usp=sharing"",""อุทัยธานี!L216"")"),20000)</f>
        <v>20000</v>
      </c>
      <c r="M216" s="58"/>
      <c r="N216" s="59">
        <f ca="1">IFERROR(__xludf.DUMMYFUNCTION("IMPORTRANGE(""https://docs.google.com/spreadsheets/d/1jTcq05yEiRwXcBMLjiodW9e4biSGYWAHcDj22rKWQ3s/edit?usp=sharing"",""กำแพงเพชร!N216"")+IMPORTRANGE(""https://docs.google.com/spreadsheets/d/1KS0zmDSZPk8KnTAbGN-Xk6MtX1YRZD0ldgdt20K4CRk/edit?usp=sharing"","&amp;"""เชียงราย!N216"")+IMPORTRANGE(""https://docs.google.com/spreadsheets/d/1rEDxBtusbi64tE0zunoIbsTVV16HeL0oJ6trHQeQ7K8/edit?usp=sharing"",""เชียงใหม่!N216"")+IMPORTRANGE(""https://docs.google.com/spreadsheets/d/1W6MnUbDkMi6xHnHko_XkFDO9kkuL6Wqyc-6OCDFjW9I/e"&amp;"dit?usp=sharing"",""ตาก!N216"")+IMPORTRANGE(""https://docs.google.com/spreadsheets/d/1IQAWArduLkta9LpYo4a_ULsyqdta6-6aDDiwpUnQT6c/edit?usp=sharing"",""นครสวรรค์!N216"")+IMPORTRANGE(""https://docs.google.com/spreadsheets/d/10s13Sk5xrltsiR-Zkbmk5DwIaDIKO8Xl"&amp;"bJAfqyT7Gvg/edit?usp=sharing"",""น่าน!N216"")+IMPORTRANGE(""https://docs.google.com/spreadsheets/d/1uu4nAn4Dbi1XREnLKKotUANlKXa7yCgRcgq8HEzQYW8/edit?usp=sharing"",""พะเยา!N216"")+IMPORTRANGE(""https://docs.google.com/spreadsheets/d/1xfJKIQxVOaPDIICqsflNlL"&amp;"u3JacTDk1FP9RH4phX7mI/edit?usp=sharing"",""พิจิตร!N216"")+IMPORTRANGE(""https://docs.google.com/spreadsheets/d/1JtRfZkJMHtEhI5RdRHxYUG4FIZHqKDpNyIuN7A1Q0_k/edit?usp=sharing"",""พิษณุโลก!N216"")+IMPORTRANGE(""https://docs.google.com/spreadsheets/d/1xlcVZWU"&amp;"Nn6SuWm0c307h32SiGkd9BaeQWlAktfD3KO8/edit?usp=sharing"",""เพชรบูรณ์!N216"")+IMPORTRANGE(""https://docs.google.com/spreadsheets/d/1lOVebEIsI9qjGXl6EX66luk7wiuP2tBaryw-wKvv4e0/edit?usp=sharing"",""แพร่!N216"")+IMPORTRANGE(""https://docs.google.com/spreadshe"&amp;"ets/d/1dQrvX0vEcN7Gu0fnZ0B5S90AeR19zth4XlExFBeExMY/edit?usp=sharing"",""แม่ฮ่องสอน!N216"")+IMPORTRANGE(""https://docs.google.com/spreadsheets/d/1DY4XTNNwjluuxqdfdn6qvOSlMRrZqUtmYcZR0ttFiG4/edit?usp=sharing"",""ลำปาง!N216"")+IMPORTRANGE(""https://docs.goog"&amp;"le.com/spreadsheets/d/1ICwG78r0OFT8biBlxnBF8r7she7gNSzOvJ958PWT09c/edit?usp=sharing"",""ลำพูน!N216"")+IMPORTRANGE(""https://docs.google.com/spreadsheets/d/1B0f2xJpZUC6Z0xXnqKlZtEPzsf6L84eP1r1Q15seqRM/edit?usp=sharing"",""สุโขทัย!N216"")+IMPORTRANGE(""http"&amp;"s://docs.google.com/spreadsheets/d/1v0b9pFQCsKUVExMei7AgY2yQkdeNQvtOssygGsXbiKo/edit?usp=sharing"",""อุตรดิตถ์!N216"")+IMPORTRANGE(""https://docs.google.com/spreadsheets/d/1UsNK1e-WWiCo2PvGqdNfdme4m17_Ezd3J69EeeiQPD0/edit?usp=sharing"",""อุทัยธานี!N216"")"),0)</f>
        <v>0</v>
      </c>
      <c r="O216" s="182"/>
      <c r="P216" s="58"/>
    </row>
    <row r="217" spans="1:16" ht="18.75" x14ac:dyDescent="0.25">
      <c r="A217" s="274"/>
      <c r="B217" s="278"/>
      <c r="C217" s="278"/>
      <c r="D217" s="60" t="s">
        <v>82</v>
      </c>
      <c r="E217" s="53"/>
      <c r="F217" s="53"/>
      <c r="G217" s="55"/>
      <c r="H217" s="163" t="s">
        <v>12</v>
      </c>
      <c r="I217" s="57"/>
      <c r="J217" s="57"/>
      <c r="K217" s="58"/>
      <c r="L217" s="59">
        <f ca="1">IFERROR(__xludf.DUMMYFUNCTION("IMPORTRANGE(""https://docs.google.com/spreadsheets/d/1jTcq05yEiRwXcBMLjiodW9e4biSGYWAHcDj22rKWQ3s/edit?usp=sharing"",""กำแพงเพชร!L217"")+IMPORTRANGE(""https://docs.google.com/spreadsheets/d/1KS0zmDSZPk8KnTAbGN-Xk6MtX1YRZD0ldgdt20K4CRk/edit?usp=sharing"","&amp;"""เชียงราย!L217"")+IMPORTRANGE(""https://docs.google.com/spreadsheets/d/1rEDxBtusbi64tE0zunoIbsTVV16HeL0oJ6trHQeQ7K8/edit?usp=sharing"",""เชียงใหม่!L217"")+IMPORTRANGE(""https://docs.google.com/spreadsheets/d/1W6MnUbDkMi6xHnHko_XkFDO9kkuL6Wqyc-6OCDFjW9I/e"&amp;"dit?usp=sharing"",""ตาก!L217"")+IMPORTRANGE(""https://docs.google.com/spreadsheets/d/1IQAWArduLkta9LpYo4a_ULsyqdta6-6aDDiwpUnQT6c/edit?usp=sharing"",""นครสวรรค์!L217"")+IMPORTRANGE(""https://docs.google.com/spreadsheets/d/10s13Sk5xrltsiR-Zkbmk5DwIaDIKO8Xl"&amp;"bJAfqyT7Gvg/edit?usp=sharing"",""น่าน!L217"")+IMPORTRANGE(""https://docs.google.com/spreadsheets/d/1uu4nAn4Dbi1XREnLKKotUANlKXa7yCgRcgq8HEzQYW8/edit?usp=sharing"",""พะเยา!L217"")+IMPORTRANGE(""https://docs.google.com/spreadsheets/d/1xfJKIQxVOaPDIICqsflNlL"&amp;"u3JacTDk1FP9RH4phX7mI/edit?usp=sharing"",""พิจิตร!L217"")+IMPORTRANGE(""https://docs.google.com/spreadsheets/d/1JtRfZkJMHtEhI5RdRHxYUG4FIZHqKDpNyIuN7A1Q0_k/edit?usp=sharing"",""พิษณุโลก!L217"")+IMPORTRANGE(""https://docs.google.com/spreadsheets/d/1xlcVZWU"&amp;"Nn6SuWm0c307h32SiGkd9BaeQWlAktfD3KO8/edit?usp=sharing"",""เพชรบูรณ์!L217"")+IMPORTRANGE(""https://docs.google.com/spreadsheets/d/1lOVebEIsI9qjGXl6EX66luk7wiuP2tBaryw-wKvv4e0/edit?usp=sharing"",""แพร่!L217"")+IMPORTRANGE(""https://docs.google.com/spreadshe"&amp;"ets/d/1dQrvX0vEcN7Gu0fnZ0B5S90AeR19zth4XlExFBeExMY/edit?usp=sharing"",""แม่ฮ่องสอน!L217"")+IMPORTRANGE(""https://docs.google.com/spreadsheets/d/1DY4XTNNwjluuxqdfdn6qvOSlMRrZqUtmYcZR0ttFiG4/edit?usp=sharing"",""ลำปาง!L217"")+IMPORTRANGE(""https://docs.goog"&amp;"le.com/spreadsheets/d/1ICwG78r0OFT8biBlxnBF8r7she7gNSzOvJ958PWT09c/edit?usp=sharing"",""ลำพูน!L217"")+IMPORTRANGE(""https://docs.google.com/spreadsheets/d/1B0f2xJpZUC6Z0xXnqKlZtEPzsf6L84eP1r1Q15seqRM/edit?usp=sharing"",""สุโขทัย!L217"")+IMPORTRANGE(""http"&amp;"s://docs.google.com/spreadsheets/d/1v0b9pFQCsKUVExMei7AgY2yQkdeNQvtOssygGsXbiKo/edit?usp=sharing"",""อุตรดิตถ์!L217"")+IMPORTRANGE(""https://docs.google.com/spreadsheets/d/1UsNK1e-WWiCo2PvGqdNfdme4m17_Ezd3J69EeeiQPD0/edit?usp=sharing"",""อุทัยธานี!L217"")"),32000)</f>
        <v>32000</v>
      </c>
      <c r="M217" s="58"/>
      <c r="N217" s="59">
        <f ca="1">IFERROR(__xludf.DUMMYFUNCTION("IMPORTRANGE(""https://docs.google.com/spreadsheets/d/1jTcq05yEiRwXcBMLjiodW9e4biSGYWAHcDj22rKWQ3s/edit?usp=sharing"",""กำแพงเพชร!N217"")+IMPORTRANGE(""https://docs.google.com/spreadsheets/d/1KS0zmDSZPk8KnTAbGN-Xk6MtX1YRZD0ldgdt20K4CRk/edit?usp=sharing"","&amp;"""เชียงราย!N217"")+IMPORTRANGE(""https://docs.google.com/spreadsheets/d/1rEDxBtusbi64tE0zunoIbsTVV16HeL0oJ6trHQeQ7K8/edit?usp=sharing"",""เชียงใหม่!N217"")+IMPORTRANGE(""https://docs.google.com/spreadsheets/d/1W6MnUbDkMi6xHnHko_XkFDO9kkuL6Wqyc-6OCDFjW9I/e"&amp;"dit?usp=sharing"",""ตาก!N217"")+IMPORTRANGE(""https://docs.google.com/spreadsheets/d/1IQAWArduLkta9LpYo4a_ULsyqdta6-6aDDiwpUnQT6c/edit?usp=sharing"",""นครสวรรค์!N217"")+IMPORTRANGE(""https://docs.google.com/spreadsheets/d/10s13Sk5xrltsiR-Zkbmk5DwIaDIKO8Xl"&amp;"bJAfqyT7Gvg/edit?usp=sharing"",""น่าน!N217"")+IMPORTRANGE(""https://docs.google.com/spreadsheets/d/1uu4nAn4Dbi1XREnLKKotUANlKXa7yCgRcgq8HEzQYW8/edit?usp=sharing"",""พะเยา!N217"")+IMPORTRANGE(""https://docs.google.com/spreadsheets/d/1xfJKIQxVOaPDIICqsflNlL"&amp;"u3JacTDk1FP9RH4phX7mI/edit?usp=sharing"",""พิจิตร!N217"")+IMPORTRANGE(""https://docs.google.com/spreadsheets/d/1JtRfZkJMHtEhI5RdRHxYUG4FIZHqKDpNyIuN7A1Q0_k/edit?usp=sharing"",""พิษณุโลก!N217"")+IMPORTRANGE(""https://docs.google.com/spreadsheets/d/1xlcVZWU"&amp;"Nn6SuWm0c307h32SiGkd9BaeQWlAktfD3KO8/edit?usp=sharing"",""เพชรบูรณ์!N217"")+IMPORTRANGE(""https://docs.google.com/spreadsheets/d/1lOVebEIsI9qjGXl6EX66luk7wiuP2tBaryw-wKvv4e0/edit?usp=sharing"",""แพร่!N217"")+IMPORTRANGE(""https://docs.google.com/spreadshe"&amp;"ets/d/1dQrvX0vEcN7Gu0fnZ0B5S90AeR19zth4XlExFBeExMY/edit?usp=sharing"",""แม่ฮ่องสอน!N217"")+IMPORTRANGE(""https://docs.google.com/spreadsheets/d/1DY4XTNNwjluuxqdfdn6qvOSlMRrZqUtmYcZR0ttFiG4/edit?usp=sharing"",""ลำปาง!N217"")+IMPORTRANGE(""https://docs.goog"&amp;"le.com/spreadsheets/d/1ICwG78r0OFT8biBlxnBF8r7she7gNSzOvJ958PWT09c/edit?usp=sharing"",""ลำพูน!N217"")+IMPORTRANGE(""https://docs.google.com/spreadsheets/d/1B0f2xJpZUC6Z0xXnqKlZtEPzsf6L84eP1r1Q15seqRM/edit?usp=sharing"",""สุโขทัย!N217"")+IMPORTRANGE(""http"&amp;"s://docs.google.com/spreadsheets/d/1v0b9pFQCsKUVExMei7AgY2yQkdeNQvtOssygGsXbiKo/edit?usp=sharing"",""อุตรดิตถ์!N217"")+IMPORTRANGE(""https://docs.google.com/spreadsheets/d/1UsNK1e-WWiCo2PvGqdNfdme4m17_Ezd3J69EeeiQPD0/edit?usp=sharing"",""อุทัยธานี!N217"")"),0)</f>
        <v>0</v>
      </c>
      <c r="O217" s="182"/>
      <c r="P217" s="58"/>
    </row>
    <row r="218" spans="1:16" ht="19.5" x14ac:dyDescent="0.3">
      <c r="A218" s="167"/>
      <c r="B218" s="168"/>
      <c r="C218" s="296" t="s">
        <v>16</v>
      </c>
      <c r="D218" s="169" t="s">
        <v>36</v>
      </c>
      <c r="E218" s="170"/>
      <c r="F218" s="170"/>
      <c r="G218" s="171"/>
      <c r="H218" s="172"/>
      <c r="I218" s="164"/>
      <c r="J218" s="57"/>
      <c r="K218" s="58"/>
      <c r="L218" s="58"/>
      <c r="M218" s="58"/>
      <c r="N218" s="58"/>
      <c r="O218" s="165"/>
      <c r="P218" s="165"/>
    </row>
    <row r="219" spans="1:16" ht="18.75" x14ac:dyDescent="0.25">
      <c r="A219" s="167"/>
      <c r="B219" s="168"/>
      <c r="C219" s="168"/>
      <c r="D219" s="173" t="s">
        <v>90</v>
      </c>
      <c r="E219" s="174"/>
      <c r="F219" s="174"/>
      <c r="G219" s="172"/>
      <c r="H219" s="294" t="s">
        <v>79</v>
      </c>
      <c r="I219" s="194">
        <f ca="1">IFERROR(__xludf.DUMMYFUNCTION("IMPORTRANGE(""https://docs.google.com/spreadsheets/d/1jTcq05yEiRwXcBMLjiodW9e4biSGYWAHcDj22rKWQ3s/edit?usp=sharing"",""กำแพงเพชร!I219"")+IMPORTRANGE(""https://docs.google.com/spreadsheets/d/1KS0zmDSZPk8KnTAbGN-Xk6MtX1YRZD0ldgdt20K4CRk/edit?usp=sharing"","&amp;"""เชียงราย!I219"")+IMPORTRANGE(""https://docs.google.com/spreadsheets/d/1rEDxBtusbi64tE0zunoIbsTVV16HeL0oJ6trHQeQ7K8/edit?usp=sharing"",""เชียงใหม่!I219"")+IMPORTRANGE(""https://docs.google.com/spreadsheets/d/1W6MnUbDkMi6xHnHko_XkFDO9kkuL6Wqyc-6OCDFjW9I/e"&amp;"dit?usp=sharing"",""ตาก!I219"")+IMPORTRANGE(""https://docs.google.com/spreadsheets/d/1IQAWArduLkta9LpYo4a_ULsyqdta6-6aDDiwpUnQT6c/edit?usp=sharing"",""นครสวรรค์!I219"")+IMPORTRANGE(""https://docs.google.com/spreadsheets/d/10s13Sk5xrltsiR-Zkbmk5DwIaDIKO8Xl"&amp;"bJAfqyT7Gvg/edit?usp=sharing"",""น่าน!I219"")+IMPORTRANGE(""https://docs.google.com/spreadsheets/d/1uu4nAn4Dbi1XREnLKKotUANlKXa7yCgRcgq8HEzQYW8/edit?usp=sharing"",""พะเยา!I219"")+IMPORTRANGE(""https://docs.google.com/spreadsheets/d/1xfJKIQxVOaPDIICqsflNlL"&amp;"u3JacTDk1FP9RH4phX7mI/edit?usp=sharing"",""พิจิตร!I219"")+IMPORTRANGE(""https://docs.google.com/spreadsheets/d/1JtRfZkJMHtEhI5RdRHxYUG4FIZHqKDpNyIuN7A1Q0_k/edit?usp=sharing"",""พิษณุโลก!I219"")+IMPORTRANGE(""https://docs.google.com/spreadsheets/d/1xlcVZWU"&amp;"Nn6SuWm0c307h32SiGkd9BaeQWlAktfD3KO8/edit?usp=sharing"",""เพชรบูรณ์!I219"")+IMPORTRANGE(""https://docs.google.com/spreadsheets/d/1lOVebEIsI9qjGXl6EX66luk7wiuP2tBaryw-wKvv4e0/edit?usp=sharing"",""แพร่!I219"")+IMPORTRANGE(""https://docs.google.com/spreadshe"&amp;"ets/d/1dQrvX0vEcN7Gu0fnZ0B5S90AeR19zth4XlExFBeExMY/edit?usp=sharing"",""แม่ฮ่องสอน!I219"")+IMPORTRANGE(""https://docs.google.com/spreadsheets/d/1DY4XTNNwjluuxqdfdn6qvOSlMRrZqUtmYcZR0ttFiG4/edit?usp=sharing"",""ลำปาง!I219"")+IMPORTRANGE(""https://docs.goog"&amp;"le.com/spreadsheets/d/1ICwG78r0OFT8biBlxnBF8r7she7gNSzOvJ958PWT09c/edit?usp=sharing"",""ลำพูน!I219"")+IMPORTRANGE(""https://docs.google.com/spreadsheets/d/1B0f2xJpZUC6Z0xXnqKlZtEPzsf6L84eP1r1Q15seqRM/edit?usp=sharing"",""สุโขทัย!I219"")+IMPORTRANGE(""http"&amp;"s://docs.google.com/spreadsheets/d/1v0b9pFQCsKUVExMei7AgY2yQkdeNQvtOssygGsXbiKo/edit?usp=sharing"",""อุตรดิตถ์!I219"")+IMPORTRANGE(""https://docs.google.com/spreadsheets/d/1UsNK1e-WWiCo2PvGqdNfdme4m17_Ezd3J69EeeiQPD0/edit?usp=sharing"",""อุทัยธานี!I219"")"),4)</f>
        <v>4</v>
      </c>
      <c r="J219" s="181">
        <f ca="1">IFERROR(__xludf.DUMMYFUNCTION("IMPORTRANGE(""https://docs.google.com/spreadsheets/d/1jTcq05yEiRwXcBMLjiodW9e4biSGYWAHcDj22rKWQ3s/edit?usp=sharing"",""กำแพงเพชร!J219"")+IMPORTRANGE(""https://docs.google.com/spreadsheets/d/1KS0zmDSZPk8KnTAbGN-Xk6MtX1YRZD0ldgdt20K4CRk/edit?usp=sharing"","&amp;"""เชียงราย!J219"")+IMPORTRANGE(""https://docs.google.com/spreadsheets/d/1rEDxBtusbi64tE0zunoIbsTVV16HeL0oJ6trHQeQ7K8/edit?usp=sharing"",""เชียงใหม่!J219"")+IMPORTRANGE(""https://docs.google.com/spreadsheets/d/1W6MnUbDkMi6xHnHko_XkFDO9kkuL6Wqyc-6OCDFjW9I/e"&amp;"dit?usp=sharing"",""ตาก!J219"")+IMPORTRANGE(""https://docs.google.com/spreadsheets/d/1IQAWArduLkta9LpYo4a_ULsyqdta6-6aDDiwpUnQT6c/edit?usp=sharing"",""นครสวรรค์!J219"")+IMPORTRANGE(""https://docs.google.com/spreadsheets/d/10s13Sk5xrltsiR-Zkbmk5DwIaDIKO8Xl"&amp;"bJAfqyT7Gvg/edit?usp=sharing"",""น่าน!J219"")+IMPORTRANGE(""https://docs.google.com/spreadsheets/d/1uu4nAn4Dbi1XREnLKKotUANlKXa7yCgRcgq8HEzQYW8/edit?usp=sharing"",""พะเยา!J219"")+IMPORTRANGE(""https://docs.google.com/spreadsheets/d/1xfJKIQxVOaPDIICqsflNlL"&amp;"u3JacTDk1FP9RH4phX7mI/edit?usp=sharing"",""พิจิตร!J219"")+IMPORTRANGE(""https://docs.google.com/spreadsheets/d/1JtRfZkJMHtEhI5RdRHxYUG4FIZHqKDpNyIuN7A1Q0_k/edit?usp=sharing"",""พิษณุโลก!J219"")+IMPORTRANGE(""https://docs.google.com/spreadsheets/d/1xlcVZWU"&amp;"Nn6SuWm0c307h32SiGkd9BaeQWlAktfD3KO8/edit?usp=sharing"",""เพชรบูรณ์!J219"")+IMPORTRANGE(""https://docs.google.com/spreadsheets/d/1lOVebEIsI9qjGXl6EX66luk7wiuP2tBaryw-wKvv4e0/edit?usp=sharing"",""แพร่!J219"")+IMPORTRANGE(""https://docs.google.com/spreadshe"&amp;"ets/d/1dQrvX0vEcN7Gu0fnZ0B5S90AeR19zth4XlExFBeExMY/edit?usp=sharing"",""แม่ฮ่องสอน!J219"")+IMPORTRANGE(""https://docs.google.com/spreadsheets/d/1DY4XTNNwjluuxqdfdn6qvOSlMRrZqUtmYcZR0ttFiG4/edit?usp=sharing"",""ลำปาง!J219"")+IMPORTRANGE(""https://docs.goog"&amp;"le.com/spreadsheets/d/1ICwG78r0OFT8biBlxnBF8r7she7gNSzOvJ958PWT09c/edit?usp=sharing"",""ลำพูน!J219"")+IMPORTRANGE(""https://docs.google.com/spreadsheets/d/1B0f2xJpZUC6Z0xXnqKlZtEPzsf6L84eP1r1Q15seqRM/edit?usp=sharing"",""สุโขทัย!J219"")+IMPORTRANGE(""http"&amp;"s://docs.google.com/spreadsheets/d/1v0b9pFQCsKUVExMei7AgY2yQkdeNQvtOssygGsXbiKo/edit?usp=sharing"",""อุตรดิตถ์!J219"")+IMPORTRANGE(""https://docs.google.com/spreadsheets/d/1UsNK1e-WWiCo2PvGqdNfdme4m17_Ezd3J69EeeiQPD0/edit?usp=sharing"",""อุทัยธานี!J219"")"),0)</f>
        <v>0</v>
      </c>
      <c r="K219" s="59">
        <f t="shared" ref="K219:K221" ca="1" si="105">IF(I219&gt;0,J219*100/I219,0)</f>
        <v>0</v>
      </c>
      <c r="L219" s="58"/>
      <c r="M219" s="58"/>
      <c r="N219" s="58"/>
      <c r="O219" s="58"/>
      <c r="P219" s="58"/>
    </row>
    <row r="220" spans="1:16" ht="18.75" x14ac:dyDescent="0.25">
      <c r="A220" s="167"/>
      <c r="B220" s="168"/>
      <c r="C220" s="168"/>
      <c r="D220" s="173" t="s">
        <v>91</v>
      </c>
      <c r="E220" s="174"/>
      <c r="F220" s="174"/>
      <c r="G220" s="172"/>
      <c r="H220" s="294" t="s">
        <v>79</v>
      </c>
      <c r="I220" s="194">
        <f ca="1">IFERROR(__xludf.DUMMYFUNCTION("IMPORTRANGE(""https://docs.google.com/spreadsheets/d/1jTcq05yEiRwXcBMLjiodW9e4biSGYWAHcDj22rKWQ3s/edit?usp=sharing"",""กำแพงเพชร!I220"")+IMPORTRANGE(""https://docs.google.com/spreadsheets/d/1KS0zmDSZPk8KnTAbGN-Xk6MtX1YRZD0ldgdt20K4CRk/edit?usp=sharing"","&amp;"""เชียงราย!I220"")+IMPORTRANGE(""https://docs.google.com/spreadsheets/d/1rEDxBtusbi64tE0zunoIbsTVV16HeL0oJ6trHQeQ7K8/edit?usp=sharing"",""เชียงใหม่!I220"")+IMPORTRANGE(""https://docs.google.com/spreadsheets/d/1W6MnUbDkMi6xHnHko_XkFDO9kkuL6Wqyc-6OCDFjW9I/e"&amp;"dit?usp=sharing"",""ตาก!I220"")+IMPORTRANGE(""https://docs.google.com/spreadsheets/d/1IQAWArduLkta9LpYo4a_ULsyqdta6-6aDDiwpUnQT6c/edit?usp=sharing"",""นครสวรรค์!I220"")+IMPORTRANGE(""https://docs.google.com/spreadsheets/d/10s13Sk5xrltsiR-Zkbmk5DwIaDIKO8Xl"&amp;"bJAfqyT7Gvg/edit?usp=sharing"",""น่าน!I220"")+IMPORTRANGE(""https://docs.google.com/spreadsheets/d/1uu4nAn4Dbi1XREnLKKotUANlKXa7yCgRcgq8HEzQYW8/edit?usp=sharing"",""พะเยา!I220"")+IMPORTRANGE(""https://docs.google.com/spreadsheets/d/1xfJKIQxVOaPDIICqsflNlL"&amp;"u3JacTDk1FP9RH4phX7mI/edit?usp=sharing"",""พิจิตร!I220"")+IMPORTRANGE(""https://docs.google.com/spreadsheets/d/1JtRfZkJMHtEhI5RdRHxYUG4FIZHqKDpNyIuN7A1Q0_k/edit?usp=sharing"",""พิษณุโลก!I220"")+IMPORTRANGE(""https://docs.google.com/spreadsheets/d/1xlcVZWU"&amp;"Nn6SuWm0c307h32SiGkd9BaeQWlAktfD3KO8/edit?usp=sharing"",""เพชรบูรณ์!I220"")+IMPORTRANGE(""https://docs.google.com/spreadsheets/d/1lOVebEIsI9qjGXl6EX66luk7wiuP2tBaryw-wKvv4e0/edit?usp=sharing"",""แพร่!I220"")+IMPORTRANGE(""https://docs.google.com/spreadshe"&amp;"ets/d/1dQrvX0vEcN7Gu0fnZ0B5S90AeR19zth4XlExFBeExMY/edit?usp=sharing"",""แม่ฮ่องสอน!I220"")+IMPORTRANGE(""https://docs.google.com/spreadsheets/d/1DY4XTNNwjluuxqdfdn6qvOSlMRrZqUtmYcZR0ttFiG4/edit?usp=sharing"",""ลำปาง!I220"")+IMPORTRANGE(""https://docs.goog"&amp;"le.com/spreadsheets/d/1ICwG78r0OFT8biBlxnBF8r7she7gNSzOvJ958PWT09c/edit?usp=sharing"",""ลำพูน!I220"")+IMPORTRANGE(""https://docs.google.com/spreadsheets/d/1B0f2xJpZUC6Z0xXnqKlZtEPzsf6L84eP1r1Q15seqRM/edit?usp=sharing"",""สุโขทัย!I220"")+IMPORTRANGE(""http"&amp;"s://docs.google.com/spreadsheets/d/1v0b9pFQCsKUVExMei7AgY2yQkdeNQvtOssygGsXbiKo/edit?usp=sharing"",""อุตรดิตถ์!I220"")+IMPORTRANGE(""https://docs.google.com/spreadsheets/d/1UsNK1e-WWiCo2PvGqdNfdme4m17_Ezd3J69EeeiQPD0/edit?usp=sharing"",""อุทัยธานี!I220"")"),4)</f>
        <v>4</v>
      </c>
      <c r="J220" s="181">
        <f ca="1">IFERROR(__xludf.DUMMYFUNCTION("IMPORTRANGE(""https://docs.google.com/spreadsheets/d/1jTcq05yEiRwXcBMLjiodW9e4biSGYWAHcDj22rKWQ3s/edit?usp=sharing"",""กำแพงเพชร!J220"")+IMPORTRANGE(""https://docs.google.com/spreadsheets/d/1KS0zmDSZPk8KnTAbGN-Xk6MtX1YRZD0ldgdt20K4CRk/edit?usp=sharing"","&amp;"""เชียงราย!J220"")+IMPORTRANGE(""https://docs.google.com/spreadsheets/d/1rEDxBtusbi64tE0zunoIbsTVV16HeL0oJ6trHQeQ7K8/edit?usp=sharing"",""เชียงใหม่!J220"")+IMPORTRANGE(""https://docs.google.com/spreadsheets/d/1W6MnUbDkMi6xHnHko_XkFDO9kkuL6Wqyc-6OCDFjW9I/e"&amp;"dit?usp=sharing"",""ตาก!J220"")+IMPORTRANGE(""https://docs.google.com/spreadsheets/d/1IQAWArduLkta9LpYo4a_ULsyqdta6-6aDDiwpUnQT6c/edit?usp=sharing"",""นครสวรรค์!J220"")+IMPORTRANGE(""https://docs.google.com/spreadsheets/d/10s13Sk5xrltsiR-Zkbmk5DwIaDIKO8Xl"&amp;"bJAfqyT7Gvg/edit?usp=sharing"",""น่าน!J220"")+IMPORTRANGE(""https://docs.google.com/spreadsheets/d/1uu4nAn4Dbi1XREnLKKotUANlKXa7yCgRcgq8HEzQYW8/edit?usp=sharing"",""พะเยา!J220"")+IMPORTRANGE(""https://docs.google.com/spreadsheets/d/1xfJKIQxVOaPDIICqsflNlL"&amp;"u3JacTDk1FP9RH4phX7mI/edit?usp=sharing"",""พิจิตร!J220"")+IMPORTRANGE(""https://docs.google.com/spreadsheets/d/1JtRfZkJMHtEhI5RdRHxYUG4FIZHqKDpNyIuN7A1Q0_k/edit?usp=sharing"",""พิษณุโลก!J220"")+IMPORTRANGE(""https://docs.google.com/spreadsheets/d/1xlcVZWU"&amp;"Nn6SuWm0c307h32SiGkd9BaeQWlAktfD3KO8/edit?usp=sharing"",""เพชรบูรณ์!J220"")+IMPORTRANGE(""https://docs.google.com/spreadsheets/d/1lOVebEIsI9qjGXl6EX66luk7wiuP2tBaryw-wKvv4e0/edit?usp=sharing"",""แพร่!J220"")+IMPORTRANGE(""https://docs.google.com/spreadshe"&amp;"ets/d/1dQrvX0vEcN7Gu0fnZ0B5S90AeR19zth4XlExFBeExMY/edit?usp=sharing"",""แม่ฮ่องสอน!J220"")+IMPORTRANGE(""https://docs.google.com/spreadsheets/d/1DY4XTNNwjluuxqdfdn6qvOSlMRrZqUtmYcZR0ttFiG4/edit?usp=sharing"",""ลำปาง!J220"")+IMPORTRANGE(""https://docs.goog"&amp;"le.com/spreadsheets/d/1ICwG78r0OFT8biBlxnBF8r7she7gNSzOvJ958PWT09c/edit?usp=sharing"",""ลำพูน!J220"")+IMPORTRANGE(""https://docs.google.com/spreadsheets/d/1B0f2xJpZUC6Z0xXnqKlZtEPzsf6L84eP1r1Q15seqRM/edit?usp=sharing"",""สุโขทัย!J220"")+IMPORTRANGE(""http"&amp;"s://docs.google.com/spreadsheets/d/1v0b9pFQCsKUVExMei7AgY2yQkdeNQvtOssygGsXbiKo/edit?usp=sharing"",""อุตรดิตถ์!J220"")+IMPORTRANGE(""https://docs.google.com/spreadsheets/d/1UsNK1e-WWiCo2PvGqdNfdme4m17_Ezd3J69EeeiQPD0/edit?usp=sharing"",""อุทัยธานี!J220"")"),0)</f>
        <v>0</v>
      </c>
      <c r="K220" s="59">
        <f t="shared" ca="1" si="105"/>
        <v>0</v>
      </c>
      <c r="L220" s="58"/>
      <c r="M220" s="58"/>
      <c r="N220" s="58"/>
      <c r="O220" s="58"/>
      <c r="P220" s="58"/>
    </row>
    <row r="221" spans="1:16" ht="19.5" x14ac:dyDescent="0.3">
      <c r="A221" s="279"/>
      <c r="B221" s="280"/>
      <c r="C221" s="281" t="s">
        <v>92</v>
      </c>
      <c r="D221" s="282"/>
      <c r="E221" s="282"/>
      <c r="F221" s="282"/>
      <c r="G221" s="283"/>
      <c r="H221" s="284" t="s">
        <v>93</v>
      </c>
      <c r="I221" s="285">
        <f t="shared" ref="I221:J221" ca="1" si="106">I229</f>
        <v>1024000</v>
      </c>
      <c r="J221" s="285">
        <f t="shared" ca="1" si="106"/>
        <v>0</v>
      </c>
      <c r="K221" s="286">
        <f t="shared" ca="1" si="105"/>
        <v>0</v>
      </c>
      <c r="L221" s="287"/>
      <c r="M221" s="287"/>
      <c r="N221" s="287"/>
      <c r="O221" s="287"/>
      <c r="P221" s="287"/>
    </row>
    <row r="222" spans="1:16" ht="19.5" x14ac:dyDescent="0.3">
      <c r="A222" s="157"/>
      <c r="B222" s="53"/>
      <c r="C222" s="158" t="s">
        <v>16</v>
      </c>
      <c r="D222" s="288" t="s">
        <v>17</v>
      </c>
      <c r="E222" s="53"/>
      <c r="F222" s="53"/>
      <c r="G222" s="55"/>
      <c r="H222" s="289" t="s">
        <v>12</v>
      </c>
      <c r="I222" s="164"/>
      <c r="J222" s="164"/>
      <c r="K222" s="165"/>
      <c r="L222" s="161">
        <f ca="1">L223+L224+L225</f>
        <v>154500</v>
      </c>
      <c r="M222" s="58"/>
      <c r="N222" s="161">
        <f ca="1">N223+N224+N225</f>
        <v>0</v>
      </c>
      <c r="O222" s="161">
        <f ca="1">IF(L222&gt;0,N222*100/L222,0)</f>
        <v>0</v>
      </c>
      <c r="P222" s="161"/>
    </row>
    <row r="223" spans="1:16" ht="18.75" x14ac:dyDescent="0.25">
      <c r="A223" s="157"/>
      <c r="B223" s="278"/>
      <c r="C223" s="53"/>
      <c r="D223" s="60" t="s">
        <v>80</v>
      </c>
      <c r="E223" s="53"/>
      <c r="F223" s="53"/>
      <c r="G223" s="55"/>
      <c r="H223" s="163" t="s">
        <v>12</v>
      </c>
      <c r="I223" s="164"/>
      <c r="J223" s="164"/>
      <c r="K223" s="165"/>
      <c r="L223" s="59">
        <f ca="1">IFERROR(__xludf.DUMMYFUNCTION("IMPORTRANGE(""https://docs.google.com/spreadsheets/d/1jTcq05yEiRwXcBMLjiodW9e4biSGYWAHcDj22rKWQ3s/edit?usp=sharing"",""กำแพงเพชร!L223"")+IMPORTRANGE(""https://docs.google.com/spreadsheets/d/1KS0zmDSZPk8KnTAbGN-Xk6MtX1YRZD0ldgdt20K4CRk/edit?usp=sharing"","&amp;"""เชียงราย!L223"")+IMPORTRANGE(""https://docs.google.com/spreadsheets/d/1rEDxBtusbi64tE0zunoIbsTVV16HeL0oJ6trHQeQ7K8/edit?usp=sharing"",""เชียงใหม่!L223"")+IMPORTRANGE(""https://docs.google.com/spreadsheets/d/1W6MnUbDkMi6xHnHko_XkFDO9kkuL6Wqyc-6OCDFjW9I/e"&amp;"dit?usp=sharing"",""ตาก!L223"")+IMPORTRANGE(""https://docs.google.com/spreadsheets/d/1IQAWArduLkta9LpYo4a_ULsyqdta6-6aDDiwpUnQT6c/edit?usp=sharing"",""นครสวรรค์!L223"")+IMPORTRANGE(""https://docs.google.com/spreadsheets/d/10s13Sk5xrltsiR-Zkbmk5DwIaDIKO8Xl"&amp;"bJAfqyT7Gvg/edit?usp=sharing"",""น่าน!L223"")+IMPORTRANGE(""https://docs.google.com/spreadsheets/d/1uu4nAn4Dbi1XREnLKKotUANlKXa7yCgRcgq8HEzQYW8/edit?usp=sharing"",""พะเยา!L223"")+IMPORTRANGE(""https://docs.google.com/spreadsheets/d/1xfJKIQxVOaPDIICqsflNlL"&amp;"u3JacTDk1FP9RH4phX7mI/edit?usp=sharing"",""พิจิตร!L223"")+IMPORTRANGE(""https://docs.google.com/spreadsheets/d/1JtRfZkJMHtEhI5RdRHxYUG4FIZHqKDpNyIuN7A1Q0_k/edit?usp=sharing"",""พิษณุโลก!L223"")+IMPORTRANGE(""https://docs.google.com/spreadsheets/d/1xlcVZWU"&amp;"Nn6SuWm0c307h32SiGkd9BaeQWlAktfD3KO8/edit?usp=sharing"",""เพชรบูรณ์!L223"")+IMPORTRANGE(""https://docs.google.com/spreadsheets/d/1lOVebEIsI9qjGXl6EX66luk7wiuP2tBaryw-wKvv4e0/edit?usp=sharing"",""แพร่!L223"")+IMPORTRANGE(""https://docs.google.com/spreadshe"&amp;"ets/d/1dQrvX0vEcN7Gu0fnZ0B5S90AeR19zth4XlExFBeExMY/edit?usp=sharing"",""แม่ฮ่องสอน!L223"")+IMPORTRANGE(""https://docs.google.com/spreadsheets/d/1DY4XTNNwjluuxqdfdn6qvOSlMRrZqUtmYcZR0ttFiG4/edit?usp=sharing"",""ลำปาง!L223"")+IMPORTRANGE(""https://docs.goog"&amp;"le.com/spreadsheets/d/1ICwG78r0OFT8biBlxnBF8r7she7gNSzOvJ958PWT09c/edit?usp=sharing"",""ลำพูน!L223"")+IMPORTRANGE(""https://docs.google.com/spreadsheets/d/1B0f2xJpZUC6Z0xXnqKlZtEPzsf6L84eP1r1Q15seqRM/edit?usp=sharing"",""สุโขทัย!L223"")+IMPORTRANGE(""http"&amp;"s://docs.google.com/spreadsheets/d/1v0b9pFQCsKUVExMei7AgY2yQkdeNQvtOssygGsXbiKo/edit?usp=sharing"",""อุตรดิตถ์!L223"")+IMPORTRANGE(""https://docs.google.com/spreadsheets/d/1UsNK1e-WWiCo2PvGqdNfdme4m17_Ezd3J69EeeiQPD0/edit?usp=sharing"",""อุทัยธานี!L223"")"),129000)</f>
        <v>129000</v>
      </c>
      <c r="M223" s="58"/>
      <c r="N223" s="59">
        <f ca="1">IFERROR(__xludf.DUMMYFUNCTION("IMPORTRANGE(""https://docs.google.com/spreadsheets/d/1jTcq05yEiRwXcBMLjiodW9e4biSGYWAHcDj22rKWQ3s/edit?usp=sharing"",""กำแพงเพชร!N223"")+IMPORTRANGE(""https://docs.google.com/spreadsheets/d/1KS0zmDSZPk8KnTAbGN-Xk6MtX1YRZD0ldgdt20K4CRk/edit?usp=sharing"","&amp;"""เชียงราย!N223"")+IMPORTRANGE(""https://docs.google.com/spreadsheets/d/1rEDxBtusbi64tE0zunoIbsTVV16HeL0oJ6trHQeQ7K8/edit?usp=sharing"",""เชียงใหม่!N223"")+IMPORTRANGE(""https://docs.google.com/spreadsheets/d/1W6MnUbDkMi6xHnHko_XkFDO9kkuL6Wqyc-6OCDFjW9I/e"&amp;"dit?usp=sharing"",""ตาก!N223"")+IMPORTRANGE(""https://docs.google.com/spreadsheets/d/1IQAWArduLkta9LpYo4a_ULsyqdta6-6aDDiwpUnQT6c/edit?usp=sharing"",""นครสวรรค์!N223"")+IMPORTRANGE(""https://docs.google.com/spreadsheets/d/10s13Sk5xrltsiR-Zkbmk5DwIaDIKO8Xl"&amp;"bJAfqyT7Gvg/edit?usp=sharing"",""น่าน!N223"")+IMPORTRANGE(""https://docs.google.com/spreadsheets/d/1uu4nAn4Dbi1XREnLKKotUANlKXa7yCgRcgq8HEzQYW8/edit?usp=sharing"",""พะเยา!N223"")+IMPORTRANGE(""https://docs.google.com/spreadsheets/d/1xfJKIQxVOaPDIICqsflNlL"&amp;"u3JacTDk1FP9RH4phX7mI/edit?usp=sharing"",""พิจิตร!N223"")+IMPORTRANGE(""https://docs.google.com/spreadsheets/d/1JtRfZkJMHtEhI5RdRHxYUG4FIZHqKDpNyIuN7A1Q0_k/edit?usp=sharing"",""พิษณุโลก!N223"")+IMPORTRANGE(""https://docs.google.com/spreadsheets/d/1xlcVZWU"&amp;"Nn6SuWm0c307h32SiGkd9BaeQWlAktfD3KO8/edit?usp=sharing"",""เพชรบูรณ์!N223"")+IMPORTRANGE(""https://docs.google.com/spreadsheets/d/1lOVebEIsI9qjGXl6EX66luk7wiuP2tBaryw-wKvv4e0/edit?usp=sharing"",""แพร่!N223"")+IMPORTRANGE(""https://docs.google.com/spreadshe"&amp;"ets/d/1dQrvX0vEcN7Gu0fnZ0B5S90AeR19zth4XlExFBeExMY/edit?usp=sharing"",""แม่ฮ่องสอน!N223"")+IMPORTRANGE(""https://docs.google.com/spreadsheets/d/1DY4XTNNwjluuxqdfdn6qvOSlMRrZqUtmYcZR0ttFiG4/edit?usp=sharing"",""ลำปาง!N223"")+IMPORTRANGE(""https://docs.goog"&amp;"le.com/spreadsheets/d/1ICwG78r0OFT8biBlxnBF8r7she7gNSzOvJ958PWT09c/edit?usp=sharing"",""ลำพูน!N223"")+IMPORTRANGE(""https://docs.google.com/spreadsheets/d/1B0f2xJpZUC6Z0xXnqKlZtEPzsf6L84eP1r1Q15seqRM/edit?usp=sharing"",""สุโขทัย!N223"")+IMPORTRANGE(""http"&amp;"s://docs.google.com/spreadsheets/d/1v0b9pFQCsKUVExMei7AgY2yQkdeNQvtOssygGsXbiKo/edit?usp=sharing"",""อุตรดิตถ์!N223"")+IMPORTRANGE(""https://docs.google.com/spreadsheets/d/1UsNK1e-WWiCo2PvGqdNfdme4m17_Ezd3J69EeeiQPD0/edit?usp=sharing"",""อุทัยธานี!N223"")"),0)</f>
        <v>0</v>
      </c>
      <c r="O223" s="182"/>
      <c r="P223" s="58"/>
    </row>
    <row r="224" spans="1:16" ht="18.75" x14ac:dyDescent="0.25">
      <c r="A224" s="274"/>
      <c r="B224" s="278"/>
      <c r="C224" s="278"/>
      <c r="D224" s="60" t="s">
        <v>94</v>
      </c>
      <c r="E224" s="53"/>
      <c r="F224" s="53"/>
      <c r="G224" s="55"/>
      <c r="H224" s="163" t="s">
        <v>12</v>
      </c>
      <c r="I224" s="57"/>
      <c r="J224" s="57"/>
      <c r="K224" s="58"/>
      <c r="L224" s="59">
        <f ca="1">IFERROR(__xludf.DUMMYFUNCTION("IMPORTRANGE(""https://docs.google.com/spreadsheets/d/1jTcq05yEiRwXcBMLjiodW9e4biSGYWAHcDj22rKWQ3s/edit?usp=sharing"",""กำแพงเพชร!L224"")+IMPORTRANGE(""https://docs.google.com/spreadsheets/d/1KS0zmDSZPk8KnTAbGN-Xk6MtX1YRZD0ldgdt20K4CRk/edit?usp=sharing"","&amp;"""เชียงราย!L224"")+IMPORTRANGE(""https://docs.google.com/spreadsheets/d/1rEDxBtusbi64tE0zunoIbsTVV16HeL0oJ6trHQeQ7K8/edit?usp=sharing"",""เชียงใหม่!L224"")+IMPORTRANGE(""https://docs.google.com/spreadsheets/d/1W6MnUbDkMi6xHnHko_XkFDO9kkuL6Wqyc-6OCDFjW9I/e"&amp;"dit?usp=sharing"",""ตาก!L224"")+IMPORTRANGE(""https://docs.google.com/spreadsheets/d/1IQAWArduLkta9LpYo4a_ULsyqdta6-6aDDiwpUnQT6c/edit?usp=sharing"",""นครสวรรค์!L224"")+IMPORTRANGE(""https://docs.google.com/spreadsheets/d/10s13Sk5xrltsiR-Zkbmk5DwIaDIKO8Xl"&amp;"bJAfqyT7Gvg/edit?usp=sharing"",""น่าน!L224"")+IMPORTRANGE(""https://docs.google.com/spreadsheets/d/1uu4nAn4Dbi1XREnLKKotUANlKXa7yCgRcgq8HEzQYW8/edit?usp=sharing"",""พะเยา!L224"")+IMPORTRANGE(""https://docs.google.com/spreadsheets/d/1xfJKIQxVOaPDIICqsflNlL"&amp;"u3JacTDk1FP9RH4phX7mI/edit?usp=sharing"",""พิจิตร!L224"")+IMPORTRANGE(""https://docs.google.com/spreadsheets/d/1JtRfZkJMHtEhI5RdRHxYUG4FIZHqKDpNyIuN7A1Q0_k/edit?usp=sharing"",""พิษณุโลก!L224"")+IMPORTRANGE(""https://docs.google.com/spreadsheets/d/1xlcVZWU"&amp;"Nn6SuWm0c307h32SiGkd9BaeQWlAktfD3KO8/edit?usp=sharing"",""เพชรบูรณ์!L224"")+IMPORTRANGE(""https://docs.google.com/spreadsheets/d/1lOVebEIsI9qjGXl6EX66luk7wiuP2tBaryw-wKvv4e0/edit?usp=sharing"",""แพร่!L224"")+IMPORTRANGE(""https://docs.google.com/spreadshe"&amp;"ets/d/1dQrvX0vEcN7Gu0fnZ0B5S90AeR19zth4XlExFBeExMY/edit?usp=sharing"",""แม่ฮ่องสอน!L224"")+IMPORTRANGE(""https://docs.google.com/spreadsheets/d/1DY4XTNNwjluuxqdfdn6qvOSlMRrZqUtmYcZR0ttFiG4/edit?usp=sharing"",""ลำปาง!L224"")+IMPORTRANGE(""https://docs.goog"&amp;"le.com/spreadsheets/d/1ICwG78r0OFT8biBlxnBF8r7she7gNSzOvJ958PWT09c/edit?usp=sharing"",""ลำพูน!L224"")+IMPORTRANGE(""https://docs.google.com/spreadsheets/d/1B0f2xJpZUC6Z0xXnqKlZtEPzsf6L84eP1r1Q15seqRM/edit?usp=sharing"",""สุโขทัย!L224"")+IMPORTRANGE(""http"&amp;"s://docs.google.com/spreadsheets/d/1v0b9pFQCsKUVExMei7AgY2yQkdeNQvtOssygGsXbiKo/edit?usp=sharing"",""อุตรดิตถ์!L224"")+IMPORTRANGE(""https://docs.google.com/spreadsheets/d/1UsNK1e-WWiCo2PvGqdNfdme4m17_Ezd3J69EeeiQPD0/edit?usp=sharing"",""อุทัยธานี!L224"")"),25500)</f>
        <v>25500</v>
      </c>
      <c r="M224" s="58"/>
      <c r="N224" s="59">
        <f ca="1">IFERROR(__xludf.DUMMYFUNCTION("IMPORTRANGE(""https://docs.google.com/spreadsheets/d/1jTcq05yEiRwXcBMLjiodW9e4biSGYWAHcDj22rKWQ3s/edit?usp=sharing"",""กำแพงเพชร!N224"")+IMPORTRANGE(""https://docs.google.com/spreadsheets/d/1KS0zmDSZPk8KnTAbGN-Xk6MtX1YRZD0ldgdt20K4CRk/edit?usp=sharing"","&amp;"""เชียงราย!N224"")+IMPORTRANGE(""https://docs.google.com/spreadsheets/d/1rEDxBtusbi64tE0zunoIbsTVV16HeL0oJ6trHQeQ7K8/edit?usp=sharing"",""เชียงใหม่!N224"")+IMPORTRANGE(""https://docs.google.com/spreadsheets/d/1W6MnUbDkMi6xHnHko_XkFDO9kkuL6Wqyc-6OCDFjW9I/e"&amp;"dit?usp=sharing"",""ตาก!N224"")+IMPORTRANGE(""https://docs.google.com/spreadsheets/d/1IQAWArduLkta9LpYo4a_ULsyqdta6-6aDDiwpUnQT6c/edit?usp=sharing"",""นครสวรรค์!N224"")+IMPORTRANGE(""https://docs.google.com/spreadsheets/d/10s13Sk5xrltsiR-Zkbmk5DwIaDIKO8Xl"&amp;"bJAfqyT7Gvg/edit?usp=sharing"",""น่าน!N224"")+IMPORTRANGE(""https://docs.google.com/spreadsheets/d/1uu4nAn4Dbi1XREnLKKotUANlKXa7yCgRcgq8HEzQYW8/edit?usp=sharing"",""พะเยา!N224"")+IMPORTRANGE(""https://docs.google.com/spreadsheets/d/1xfJKIQxVOaPDIICqsflNlL"&amp;"u3JacTDk1FP9RH4phX7mI/edit?usp=sharing"",""พิจิตร!N224"")+IMPORTRANGE(""https://docs.google.com/spreadsheets/d/1JtRfZkJMHtEhI5RdRHxYUG4FIZHqKDpNyIuN7A1Q0_k/edit?usp=sharing"",""พิษณุโลก!N224"")+IMPORTRANGE(""https://docs.google.com/spreadsheets/d/1xlcVZWU"&amp;"Nn6SuWm0c307h32SiGkd9BaeQWlAktfD3KO8/edit?usp=sharing"",""เพชรบูรณ์!N224"")+IMPORTRANGE(""https://docs.google.com/spreadsheets/d/1lOVebEIsI9qjGXl6EX66luk7wiuP2tBaryw-wKvv4e0/edit?usp=sharing"",""แพร่!N224"")+IMPORTRANGE(""https://docs.google.com/spreadshe"&amp;"ets/d/1dQrvX0vEcN7Gu0fnZ0B5S90AeR19zth4XlExFBeExMY/edit?usp=sharing"",""แม่ฮ่องสอน!N224"")+IMPORTRANGE(""https://docs.google.com/spreadsheets/d/1DY4XTNNwjluuxqdfdn6qvOSlMRrZqUtmYcZR0ttFiG4/edit?usp=sharing"",""ลำปาง!N224"")+IMPORTRANGE(""https://docs.goog"&amp;"le.com/spreadsheets/d/1ICwG78r0OFT8biBlxnBF8r7she7gNSzOvJ958PWT09c/edit?usp=sharing"",""ลำพูน!N224"")+IMPORTRANGE(""https://docs.google.com/spreadsheets/d/1B0f2xJpZUC6Z0xXnqKlZtEPzsf6L84eP1r1Q15seqRM/edit?usp=sharing"",""สุโขทัย!N224"")+IMPORTRANGE(""http"&amp;"s://docs.google.com/spreadsheets/d/1v0b9pFQCsKUVExMei7AgY2yQkdeNQvtOssygGsXbiKo/edit?usp=sharing"",""อุตรดิตถ์!N224"")+IMPORTRANGE(""https://docs.google.com/spreadsheets/d/1UsNK1e-WWiCo2PvGqdNfdme4m17_Ezd3J69EeeiQPD0/edit?usp=sharing"",""อุทัยธานี!N224"")"),0)</f>
        <v>0</v>
      </c>
      <c r="O224" s="182"/>
      <c r="P224" s="58"/>
    </row>
    <row r="225" spans="1:16" ht="18.75" hidden="1" x14ac:dyDescent="0.25">
      <c r="A225" s="297"/>
      <c r="B225" s="298"/>
      <c r="C225" s="298"/>
      <c r="D225" s="299"/>
      <c r="E225" s="300"/>
      <c r="F225" s="300"/>
      <c r="G225" s="301"/>
      <c r="H225" s="302"/>
      <c r="I225" s="303"/>
      <c r="J225" s="303"/>
      <c r="K225" s="304"/>
      <c r="L225" s="305"/>
      <c r="M225" s="304"/>
      <c r="N225" s="305"/>
      <c r="O225" s="305"/>
      <c r="P225" s="304"/>
    </row>
    <row r="226" spans="1:16" ht="19.5" x14ac:dyDescent="0.3">
      <c r="A226" s="167"/>
      <c r="B226" s="168"/>
      <c r="C226" s="296" t="s">
        <v>16</v>
      </c>
      <c r="D226" s="169" t="s">
        <v>36</v>
      </c>
      <c r="E226" s="170"/>
      <c r="F226" s="170"/>
      <c r="G226" s="171"/>
      <c r="H226" s="172"/>
      <c r="I226" s="164"/>
      <c r="J226" s="164"/>
      <c r="K226" s="165"/>
      <c r="L226" s="165"/>
      <c r="M226" s="165"/>
      <c r="N226" s="165"/>
      <c r="O226" s="165"/>
      <c r="P226" s="165"/>
    </row>
    <row r="227" spans="1:16" ht="18.75" x14ac:dyDescent="0.25">
      <c r="A227" s="167"/>
      <c r="B227" s="168"/>
      <c r="C227" s="168"/>
      <c r="D227" s="60" t="s">
        <v>95</v>
      </c>
      <c r="E227" s="174"/>
      <c r="F227" s="174"/>
      <c r="G227" s="172"/>
      <c r="H227" s="172"/>
      <c r="I227" s="57"/>
      <c r="J227" s="57"/>
      <c r="K227" s="165"/>
      <c r="L227" s="165"/>
      <c r="M227" s="165"/>
      <c r="N227" s="165"/>
      <c r="O227" s="165"/>
      <c r="P227" s="165"/>
    </row>
    <row r="228" spans="1:16" ht="18.75" x14ac:dyDescent="0.25">
      <c r="A228" s="167"/>
      <c r="B228" s="168"/>
      <c r="C228" s="168"/>
      <c r="D228" s="168"/>
      <c r="E228" s="173" t="s">
        <v>96</v>
      </c>
      <c r="F228" s="174"/>
      <c r="G228" s="172"/>
      <c r="H228" s="179" t="s">
        <v>93</v>
      </c>
      <c r="I228" s="194">
        <f ca="1">IFERROR(__xludf.DUMMYFUNCTION("IMPORTRANGE(""https://docs.google.com/spreadsheets/d/1jTcq05yEiRwXcBMLjiodW9e4biSGYWAHcDj22rKWQ3s/edit?usp=sharing"",""กำแพงเพชร!I228"")+IMPORTRANGE(""https://docs.google.com/spreadsheets/d/1KS0zmDSZPk8KnTAbGN-Xk6MtX1YRZD0ldgdt20K4CRk/edit?usp=sharing"","&amp;"""เชียงราย!I228"")+IMPORTRANGE(""https://docs.google.com/spreadsheets/d/1rEDxBtusbi64tE0zunoIbsTVV16HeL0oJ6trHQeQ7K8/edit?usp=sharing"",""เชียงใหม่!I228"")+IMPORTRANGE(""https://docs.google.com/spreadsheets/d/1W6MnUbDkMi6xHnHko_XkFDO9kkuL6Wqyc-6OCDFjW9I/e"&amp;"dit?usp=sharing"",""ตาก!I228"")+IMPORTRANGE(""https://docs.google.com/spreadsheets/d/1IQAWArduLkta9LpYo4a_ULsyqdta6-6aDDiwpUnQT6c/edit?usp=sharing"",""นครสวรรค์!I228"")+IMPORTRANGE(""https://docs.google.com/spreadsheets/d/10s13Sk5xrltsiR-Zkbmk5DwIaDIKO8Xl"&amp;"bJAfqyT7Gvg/edit?usp=sharing"",""น่าน!I228"")+IMPORTRANGE(""https://docs.google.com/spreadsheets/d/1uu4nAn4Dbi1XREnLKKotUANlKXa7yCgRcgq8HEzQYW8/edit?usp=sharing"",""พะเยา!I228"")+IMPORTRANGE(""https://docs.google.com/spreadsheets/d/1xfJKIQxVOaPDIICqsflNlL"&amp;"u3JacTDk1FP9RH4phX7mI/edit?usp=sharing"",""พิจิตร!I228"")+IMPORTRANGE(""https://docs.google.com/spreadsheets/d/1JtRfZkJMHtEhI5RdRHxYUG4FIZHqKDpNyIuN7A1Q0_k/edit?usp=sharing"",""พิษณุโลก!I228"")+IMPORTRANGE(""https://docs.google.com/spreadsheets/d/1xlcVZWU"&amp;"Nn6SuWm0c307h32SiGkd9BaeQWlAktfD3KO8/edit?usp=sharing"",""เพชรบูรณ์!I228"")+IMPORTRANGE(""https://docs.google.com/spreadsheets/d/1lOVebEIsI9qjGXl6EX66luk7wiuP2tBaryw-wKvv4e0/edit?usp=sharing"",""แพร่!I228"")+IMPORTRANGE(""https://docs.google.com/spreadshe"&amp;"ets/d/1dQrvX0vEcN7Gu0fnZ0B5S90AeR19zth4XlExFBeExMY/edit?usp=sharing"",""แม่ฮ่องสอน!I228"")+IMPORTRANGE(""https://docs.google.com/spreadsheets/d/1DY4XTNNwjluuxqdfdn6qvOSlMRrZqUtmYcZR0ttFiG4/edit?usp=sharing"",""ลำปาง!I228"")+IMPORTRANGE(""https://docs.goog"&amp;"le.com/spreadsheets/d/1ICwG78r0OFT8biBlxnBF8r7she7gNSzOvJ958PWT09c/edit?usp=sharing"",""ลำพูน!I228"")+IMPORTRANGE(""https://docs.google.com/spreadsheets/d/1B0f2xJpZUC6Z0xXnqKlZtEPzsf6L84eP1r1Q15seqRM/edit?usp=sharing"",""สุโขทัย!I228"")+IMPORTRANGE(""http"&amp;"s://docs.google.com/spreadsheets/d/1v0b9pFQCsKUVExMei7AgY2yQkdeNQvtOssygGsXbiKo/edit?usp=sharing"",""อุตรดิตถ์!I228"")+IMPORTRANGE(""https://docs.google.com/spreadsheets/d/1UsNK1e-WWiCo2PvGqdNfdme4m17_Ezd3J69EeeiQPD0/edit?usp=sharing"",""อุทัยธานี!I228"")"),1024000)</f>
        <v>1024000</v>
      </c>
      <c r="J228" s="181">
        <f ca="1">IFERROR(__xludf.DUMMYFUNCTION("IMPORTRANGE(""https://docs.google.com/spreadsheets/d/1jTcq05yEiRwXcBMLjiodW9e4biSGYWAHcDj22rKWQ3s/edit?usp=sharing"",""กำแพงเพชร!J228"")+IMPORTRANGE(""https://docs.google.com/spreadsheets/d/1KS0zmDSZPk8KnTAbGN-Xk6MtX1YRZD0ldgdt20K4CRk/edit?usp=sharing"","&amp;"""เชียงราย!J228"")+IMPORTRANGE(""https://docs.google.com/spreadsheets/d/1rEDxBtusbi64tE0zunoIbsTVV16HeL0oJ6trHQeQ7K8/edit?usp=sharing"",""เชียงใหม่!J228"")+IMPORTRANGE(""https://docs.google.com/spreadsheets/d/1W6MnUbDkMi6xHnHko_XkFDO9kkuL6Wqyc-6OCDFjW9I/e"&amp;"dit?usp=sharing"",""ตาก!J228"")+IMPORTRANGE(""https://docs.google.com/spreadsheets/d/1IQAWArduLkta9LpYo4a_ULsyqdta6-6aDDiwpUnQT6c/edit?usp=sharing"",""นครสวรรค์!J228"")+IMPORTRANGE(""https://docs.google.com/spreadsheets/d/10s13Sk5xrltsiR-Zkbmk5DwIaDIKO8Xl"&amp;"bJAfqyT7Gvg/edit?usp=sharing"",""น่าน!J228"")+IMPORTRANGE(""https://docs.google.com/spreadsheets/d/1uu4nAn4Dbi1XREnLKKotUANlKXa7yCgRcgq8HEzQYW8/edit?usp=sharing"",""พะเยา!J228"")+IMPORTRANGE(""https://docs.google.com/spreadsheets/d/1xfJKIQxVOaPDIICqsflNlL"&amp;"u3JacTDk1FP9RH4phX7mI/edit?usp=sharing"",""พิจิตร!J228"")+IMPORTRANGE(""https://docs.google.com/spreadsheets/d/1JtRfZkJMHtEhI5RdRHxYUG4FIZHqKDpNyIuN7A1Q0_k/edit?usp=sharing"",""พิษณุโลก!J228"")+IMPORTRANGE(""https://docs.google.com/spreadsheets/d/1xlcVZWU"&amp;"Nn6SuWm0c307h32SiGkd9BaeQWlAktfD3KO8/edit?usp=sharing"",""เพชรบูรณ์!J228"")+IMPORTRANGE(""https://docs.google.com/spreadsheets/d/1lOVebEIsI9qjGXl6EX66luk7wiuP2tBaryw-wKvv4e0/edit?usp=sharing"",""แพร่!J228"")+IMPORTRANGE(""https://docs.google.com/spreadshe"&amp;"ets/d/1dQrvX0vEcN7Gu0fnZ0B5S90AeR19zth4XlExFBeExMY/edit?usp=sharing"",""แม่ฮ่องสอน!J228"")+IMPORTRANGE(""https://docs.google.com/spreadsheets/d/1DY4XTNNwjluuxqdfdn6qvOSlMRrZqUtmYcZR0ttFiG4/edit?usp=sharing"",""ลำปาง!J228"")+IMPORTRANGE(""https://docs.goog"&amp;"le.com/spreadsheets/d/1ICwG78r0OFT8biBlxnBF8r7she7gNSzOvJ958PWT09c/edit?usp=sharing"",""ลำพูน!J228"")+IMPORTRANGE(""https://docs.google.com/spreadsheets/d/1B0f2xJpZUC6Z0xXnqKlZtEPzsf6L84eP1r1Q15seqRM/edit?usp=sharing"",""สุโขทัย!J228"")+IMPORTRANGE(""http"&amp;"s://docs.google.com/spreadsheets/d/1v0b9pFQCsKUVExMei7AgY2yQkdeNQvtOssygGsXbiKo/edit?usp=sharing"",""อุตรดิตถ์!J228"")+IMPORTRANGE(""https://docs.google.com/spreadsheets/d/1UsNK1e-WWiCo2PvGqdNfdme4m17_Ezd3J69EeeiQPD0/edit?usp=sharing"",""อุทัยธานี!J228"")"),0)</f>
        <v>0</v>
      </c>
      <c r="K228" s="182">
        <f t="shared" ref="K228:K231" ca="1" si="107">IF(I228&gt;0,J228*100/I228,0)</f>
        <v>0</v>
      </c>
      <c r="L228" s="165"/>
      <c r="M228" s="165"/>
      <c r="N228" s="165"/>
      <c r="O228" s="165"/>
      <c r="P228" s="165"/>
    </row>
    <row r="229" spans="1:16" ht="18.75" x14ac:dyDescent="0.25">
      <c r="A229" s="167"/>
      <c r="B229" s="168"/>
      <c r="C229" s="168"/>
      <c r="D229" s="168"/>
      <c r="E229" s="173" t="s">
        <v>97</v>
      </c>
      <c r="F229" s="174"/>
      <c r="G229" s="172"/>
      <c r="H229" s="179" t="s">
        <v>93</v>
      </c>
      <c r="I229" s="194">
        <f ca="1">IFERROR(__xludf.DUMMYFUNCTION("IMPORTRANGE(""https://docs.google.com/spreadsheets/d/1jTcq05yEiRwXcBMLjiodW9e4biSGYWAHcDj22rKWQ3s/edit?usp=sharing"",""กำแพงเพชร!I229"")+IMPORTRANGE(""https://docs.google.com/spreadsheets/d/1KS0zmDSZPk8KnTAbGN-Xk6MtX1YRZD0ldgdt20K4CRk/edit?usp=sharing"","&amp;"""เชียงราย!I229"")+IMPORTRANGE(""https://docs.google.com/spreadsheets/d/1rEDxBtusbi64tE0zunoIbsTVV16HeL0oJ6trHQeQ7K8/edit?usp=sharing"",""เชียงใหม่!I229"")+IMPORTRANGE(""https://docs.google.com/spreadsheets/d/1W6MnUbDkMi6xHnHko_XkFDO9kkuL6Wqyc-6OCDFjW9I/e"&amp;"dit?usp=sharing"",""ตาก!I229"")+IMPORTRANGE(""https://docs.google.com/spreadsheets/d/1IQAWArduLkta9LpYo4a_ULsyqdta6-6aDDiwpUnQT6c/edit?usp=sharing"",""นครสวรรค์!I229"")+IMPORTRANGE(""https://docs.google.com/spreadsheets/d/10s13Sk5xrltsiR-Zkbmk5DwIaDIKO8Xl"&amp;"bJAfqyT7Gvg/edit?usp=sharing"",""น่าน!I229"")+IMPORTRANGE(""https://docs.google.com/spreadsheets/d/1uu4nAn4Dbi1XREnLKKotUANlKXa7yCgRcgq8HEzQYW8/edit?usp=sharing"",""พะเยา!I229"")+IMPORTRANGE(""https://docs.google.com/spreadsheets/d/1xfJKIQxVOaPDIICqsflNlL"&amp;"u3JacTDk1FP9RH4phX7mI/edit?usp=sharing"",""พิจิตร!I229"")+IMPORTRANGE(""https://docs.google.com/spreadsheets/d/1JtRfZkJMHtEhI5RdRHxYUG4FIZHqKDpNyIuN7A1Q0_k/edit?usp=sharing"",""พิษณุโลก!I229"")+IMPORTRANGE(""https://docs.google.com/spreadsheets/d/1xlcVZWU"&amp;"Nn6SuWm0c307h32SiGkd9BaeQWlAktfD3KO8/edit?usp=sharing"",""เพชรบูรณ์!I229"")+IMPORTRANGE(""https://docs.google.com/spreadsheets/d/1lOVebEIsI9qjGXl6EX66luk7wiuP2tBaryw-wKvv4e0/edit?usp=sharing"",""แพร่!I229"")+IMPORTRANGE(""https://docs.google.com/spreadshe"&amp;"ets/d/1dQrvX0vEcN7Gu0fnZ0B5S90AeR19zth4XlExFBeExMY/edit?usp=sharing"",""แม่ฮ่องสอน!I229"")+IMPORTRANGE(""https://docs.google.com/spreadsheets/d/1DY4XTNNwjluuxqdfdn6qvOSlMRrZqUtmYcZR0ttFiG4/edit?usp=sharing"",""ลำปาง!I229"")+IMPORTRANGE(""https://docs.goog"&amp;"le.com/spreadsheets/d/1ICwG78r0OFT8biBlxnBF8r7she7gNSzOvJ958PWT09c/edit?usp=sharing"",""ลำพูน!I229"")+IMPORTRANGE(""https://docs.google.com/spreadsheets/d/1B0f2xJpZUC6Z0xXnqKlZtEPzsf6L84eP1r1Q15seqRM/edit?usp=sharing"",""สุโขทัย!I229"")+IMPORTRANGE(""http"&amp;"s://docs.google.com/spreadsheets/d/1v0b9pFQCsKUVExMei7AgY2yQkdeNQvtOssygGsXbiKo/edit?usp=sharing"",""อุตรดิตถ์!I229"")+IMPORTRANGE(""https://docs.google.com/spreadsheets/d/1UsNK1e-WWiCo2PvGqdNfdme4m17_Ezd3J69EeeiQPD0/edit?usp=sharing"",""อุทัยธานี!I229"")"),1024000)</f>
        <v>1024000</v>
      </c>
      <c r="J229" s="181">
        <f ca="1">IFERROR(__xludf.DUMMYFUNCTION("IMPORTRANGE(""https://docs.google.com/spreadsheets/d/1jTcq05yEiRwXcBMLjiodW9e4biSGYWAHcDj22rKWQ3s/edit?usp=sharing"",""กำแพงเพชร!J229"")+IMPORTRANGE(""https://docs.google.com/spreadsheets/d/1KS0zmDSZPk8KnTAbGN-Xk6MtX1YRZD0ldgdt20K4CRk/edit?usp=sharing"","&amp;"""เชียงราย!J229"")+IMPORTRANGE(""https://docs.google.com/spreadsheets/d/1rEDxBtusbi64tE0zunoIbsTVV16HeL0oJ6trHQeQ7K8/edit?usp=sharing"",""เชียงใหม่!J229"")+IMPORTRANGE(""https://docs.google.com/spreadsheets/d/1W6MnUbDkMi6xHnHko_XkFDO9kkuL6Wqyc-6OCDFjW9I/e"&amp;"dit?usp=sharing"",""ตาก!J229"")+IMPORTRANGE(""https://docs.google.com/spreadsheets/d/1IQAWArduLkta9LpYo4a_ULsyqdta6-6aDDiwpUnQT6c/edit?usp=sharing"",""นครสวรรค์!J229"")+IMPORTRANGE(""https://docs.google.com/spreadsheets/d/10s13Sk5xrltsiR-Zkbmk5DwIaDIKO8Xl"&amp;"bJAfqyT7Gvg/edit?usp=sharing"",""น่าน!J229"")+IMPORTRANGE(""https://docs.google.com/spreadsheets/d/1uu4nAn4Dbi1XREnLKKotUANlKXa7yCgRcgq8HEzQYW8/edit?usp=sharing"",""พะเยา!J229"")+IMPORTRANGE(""https://docs.google.com/spreadsheets/d/1xfJKIQxVOaPDIICqsflNlL"&amp;"u3JacTDk1FP9RH4phX7mI/edit?usp=sharing"",""พิจิตร!J229"")+IMPORTRANGE(""https://docs.google.com/spreadsheets/d/1JtRfZkJMHtEhI5RdRHxYUG4FIZHqKDpNyIuN7A1Q0_k/edit?usp=sharing"",""พิษณุโลก!J229"")+IMPORTRANGE(""https://docs.google.com/spreadsheets/d/1xlcVZWU"&amp;"Nn6SuWm0c307h32SiGkd9BaeQWlAktfD3KO8/edit?usp=sharing"",""เพชรบูรณ์!J229"")+IMPORTRANGE(""https://docs.google.com/spreadsheets/d/1lOVebEIsI9qjGXl6EX66luk7wiuP2tBaryw-wKvv4e0/edit?usp=sharing"",""แพร่!J229"")+IMPORTRANGE(""https://docs.google.com/spreadshe"&amp;"ets/d/1dQrvX0vEcN7Gu0fnZ0B5S90AeR19zth4XlExFBeExMY/edit?usp=sharing"",""แม่ฮ่องสอน!J229"")+IMPORTRANGE(""https://docs.google.com/spreadsheets/d/1DY4XTNNwjluuxqdfdn6qvOSlMRrZqUtmYcZR0ttFiG4/edit?usp=sharing"",""ลำปาง!J229"")+IMPORTRANGE(""https://docs.goog"&amp;"le.com/spreadsheets/d/1ICwG78r0OFT8biBlxnBF8r7she7gNSzOvJ958PWT09c/edit?usp=sharing"",""ลำพูน!J229"")+IMPORTRANGE(""https://docs.google.com/spreadsheets/d/1B0f2xJpZUC6Z0xXnqKlZtEPzsf6L84eP1r1Q15seqRM/edit?usp=sharing"",""สุโขทัย!J229"")+IMPORTRANGE(""http"&amp;"s://docs.google.com/spreadsheets/d/1v0b9pFQCsKUVExMei7AgY2yQkdeNQvtOssygGsXbiKo/edit?usp=sharing"",""อุตรดิตถ์!J229"")+IMPORTRANGE(""https://docs.google.com/spreadsheets/d/1UsNK1e-WWiCo2PvGqdNfdme4m17_Ezd3J69EeeiQPD0/edit?usp=sharing"",""อุทัยธานี!J229"")"),0)</f>
        <v>0</v>
      </c>
      <c r="K229" s="182">
        <f t="shared" ca="1" si="107"/>
        <v>0</v>
      </c>
      <c r="L229" s="58"/>
      <c r="M229" s="58"/>
      <c r="N229" s="58"/>
      <c r="O229" s="58"/>
      <c r="P229" s="58"/>
    </row>
    <row r="230" spans="1:16" ht="18.75" x14ac:dyDescent="0.25">
      <c r="A230" s="167"/>
      <c r="B230" s="168"/>
      <c r="C230" s="168"/>
      <c r="D230" s="60" t="s">
        <v>98</v>
      </c>
      <c r="E230" s="174"/>
      <c r="F230" s="174"/>
      <c r="G230" s="172"/>
      <c r="H230" s="179" t="s">
        <v>33</v>
      </c>
      <c r="I230" s="194">
        <f ca="1">IFERROR(__xludf.DUMMYFUNCTION("IMPORTRANGE(""https://docs.google.com/spreadsheets/d/1jTcq05yEiRwXcBMLjiodW9e4biSGYWAHcDj22rKWQ3s/edit?usp=sharing"",""กำแพงเพชร!I230"")+IMPORTRANGE(""https://docs.google.com/spreadsheets/d/1KS0zmDSZPk8KnTAbGN-Xk6MtX1YRZD0ldgdt20K4CRk/edit?usp=sharing"","&amp;"""เชียงราย!I230"")+IMPORTRANGE(""https://docs.google.com/spreadsheets/d/1rEDxBtusbi64tE0zunoIbsTVV16HeL0oJ6trHQeQ7K8/edit?usp=sharing"",""เชียงใหม่!I230"")+IMPORTRANGE(""https://docs.google.com/spreadsheets/d/1W6MnUbDkMi6xHnHko_XkFDO9kkuL6Wqyc-6OCDFjW9I/e"&amp;"dit?usp=sharing"",""ตาก!I230"")+IMPORTRANGE(""https://docs.google.com/spreadsheets/d/1IQAWArduLkta9LpYo4a_ULsyqdta6-6aDDiwpUnQT6c/edit?usp=sharing"",""นครสวรรค์!I230"")+IMPORTRANGE(""https://docs.google.com/spreadsheets/d/10s13Sk5xrltsiR-Zkbmk5DwIaDIKO8Xl"&amp;"bJAfqyT7Gvg/edit?usp=sharing"",""น่าน!I230"")+IMPORTRANGE(""https://docs.google.com/spreadsheets/d/1uu4nAn4Dbi1XREnLKKotUANlKXa7yCgRcgq8HEzQYW8/edit?usp=sharing"",""พะเยา!I230"")+IMPORTRANGE(""https://docs.google.com/spreadsheets/d/1xfJKIQxVOaPDIICqsflNlL"&amp;"u3JacTDk1FP9RH4phX7mI/edit?usp=sharing"",""พิจิตร!I230"")+IMPORTRANGE(""https://docs.google.com/spreadsheets/d/1JtRfZkJMHtEhI5RdRHxYUG4FIZHqKDpNyIuN7A1Q0_k/edit?usp=sharing"",""พิษณุโลก!I230"")+IMPORTRANGE(""https://docs.google.com/spreadsheets/d/1xlcVZWU"&amp;"Nn6SuWm0c307h32SiGkd9BaeQWlAktfD3KO8/edit?usp=sharing"",""เพชรบูรณ์!I230"")+IMPORTRANGE(""https://docs.google.com/spreadsheets/d/1lOVebEIsI9qjGXl6EX66luk7wiuP2tBaryw-wKvv4e0/edit?usp=sharing"",""แพร่!I230"")+IMPORTRANGE(""https://docs.google.com/spreadshe"&amp;"ets/d/1dQrvX0vEcN7Gu0fnZ0B5S90AeR19zth4XlExFBeExMY/edit?usp=sharing"",""แม่ฮ่องสอน!I230"")+IMPORTRANGE(""https://docs.google.com/spreadsheets/d/1DY4XTNNwjluuxqdfdn6qvOSlMRrZqUtmYcZR0ttFiG4/edit?usp=sharing"",""ลำปาง!I230"")+IMPORTRANGE(""https://docs.goog"&amp;"le.com/spreadsheets/d/1ICwG78r0OFT8biBlxnBF8r7she7gNSzOvJ958PWT09c/edit?usp=sharing"",""ลำพูน!I230"")+IMPORTRANGE(""https://docs.google.com/spreadsheets/d/1B0f2xJpZUC6Z0xXnqKlZtEPzsf6L84eP1r1Q15seqRM/edit?usp=sharing"",""สุโขทัย!I230"")+IMPORTRANGE(""http"&amp;"s://docs.google.com/spreadsheets/d/1v0b9pFQCsKUVExMei7AgY2yQkdeNQvtOssygGsXbiKo/edit?usp=sharing"",""อุตรดิตถ์!I230"")+IMPORTRANGE(""https://docs.google.com/spreadsheets/d/1UsNK1e-WWiCo2PvGqdNfdme4m17_Ezd3J69EeeiQPD0/edit?usp=sharing"",""อุทัยธานี!I230"")"),0)</f>
        <v>0</v>
      </c>
      <c r="J230" s="194">
        <f ca="1">IFERROR(__xludf.DUMMYFUNCTION("IMPORTRANGE(""https://docs.google.com/spreadsheets/d/1jTcq05yEiRwXcBMLjiodW9e4biSGYWAHcDj22rKWQ3s/edit?usp=sharing"",""กำแพงเพชร!J230"")+IMPORTRANGE(""https://docs.google.com/spreadsheets/d/1KS0zmDSZPk8KnTAbGN-Xk6MtX1YRZD0ldgdt20K4CRk/edit?usp=sharing"","&amp;"""เชียงราย!J230"")+IMPORTRANGE(""https://docs.google.com/spreadsheets/d/1rEDxBtusbi64tE0zunoIbsTVV16HeL0oJ6trHQeQ7K8/edit?usp=sharing"",""เชียงใหม่!J230"")+IMPORTRANGE(""https://docs.google.com/spreadsheets/d/1W6MnUbDkMi6xHnHko_XkFDO9kkuL6Wqyc-6OCDFjW9I/e"&amp;"dit?usp=sharing"",""ตาก!J230"")+IMPORTRANGE(""https://docs.google.com/spreadsheets/d/1IQAWArduLkta9LpYo4a_ULsyqdta6-6aDDiwpUnQT6c/edit?usp=sharing"",""นครสวรรค์!J230"")+IMPORTRANGE(""https://docs.google.com/spreadsheets/d/10s13Sk5xrltsiR-Zkbmk5DwIaDIKO8Xl"&amp;"bJAfqyT7Gvg/edit?usp=sharing"",""น่าน!J230"")+IMPORTRANGE(""https://docs.google.com/spreadsheets/d/1uu4nAn4Dbi1XREnLKKotUANlKXa7yCgRcgq8HEzQYW8/edit?usp=sharing"",""พะเยา!J230"")+IMPORTRANGE(""https://docs.google.com/spreadsheets/d/1xfJKIQxVOaPDIICqsflNlL"&amp;"u3JacTDk1FP9RH4phX7mI/edit?usp=sharing"",""พิจิตร!J230"")+IMPORTRANGE(""https://docs.google.com/spreadsheets/d/1JtRfZkJMHtEhI5RdRHxYUG4FIZHqKDpNyIuN7A1Q0_k/edit?usp=sharing"",""พิษณุโลก!J230"")+IMPORTRANGE(""https://docs.google.com/spreadsheets/d/1xlcVZWU"&amp;"Nn6SuWm0c307h32SiGkd9BaeQWlAktfD3KO8/edit?usp=sharing"",""เพชรบูรณ์!J230"")+IMPORTRANGE(""https://docs.google.com/spreadsheets/d/1lOVebEIsI9qjGXl6EX66luk7wiuP2tBaryw-wKvv4e0/edit?usp=sharing"",""แพร่!J230"")+IMPORTRANGE(""https://docs.google.com/spreadshe"&amp;"ets/d/1dQrvX0vEcN7Gu0fnZ0B5S90AeR19zth4XlExFBeExMY/edit?usp=sharing"",""แม่ฮ่องสอน!J230"")+IMPORTRANGE(""https://docs.google.com/spreadsheets/d/1DY4XTNNwjluuxqdfdn6qvOSlMRrZqUtmYcZR0ttFiG4/edit?usp=sharing"",""ลำปาง!J230"")+IMPORTRANGE(""https://docs.goog"&amp;"le.com/spreadsheets/d/1ICwG78r0OFT8biBlxnBF8r7she7gNSzOvJ958PWT09c/edit?usp=sharing"",""ลำพูน!J230"")+IMPORTRANGE(""https://docs.google.com/spreadsheets/d/1B0f2xJpZUC6Z0xXnqKlZtEPzsf6L84eP1r1Q15seqRM/edit?usp=sharing"",""สุโขทัย!J230"")+IMPORTRANGE(""http"&amp;"s://docs.google.com/spreadsheets/d/1v0b9pFQCsKUVExMei7AgY2yQkdeNQvtOssygGsXbiKo/edit?usp=sharing"",""อุตรดิตถ์!J230"")+IMPORTRANGE(""https://docs.google.com/spreadsheets/d/1UsNK1e-WWiCo2PvGqdNfdme4m17_Ezd3J69EeeiQPD0/edit?usp=sharing"",""อุทัยธานี!J230"")"),0)</f>
        <v>0</v>
      </c>
      <c r="K230" s="182">
        <f t="shared" ca="1" si="107"/>
        <v>0</v>
      </c>
      <c r="L230" s="58"/>
      <c r="M230" s="58"/>
      <c r="N230" s="58"/>
      <c r="O230" s="58"/>
      <c r="P230" s="58"/>
    </row>
    <row r="231" spans="1:16" ht="19.5" x14ac:dyDescent="0.3">
      <c r="A231" s="279"/>
      <c r="B231" s="280"/>
      <c r="C231" s="281" t="s">
        <v>99</v>
      </c>
      <c r="D231" s="282"/>
      <c r="E231" s="282"/>
      <c r="F231" s="282"/>
      <c r="G231" s="283"/>
      <c r="H231" s="284" t="s">
        <v>33</v>
      </c>
      <c r="I231" s="285">
        <f t="shared" ref="I231:J231" si="108">I242+I253</f>
        <v>0</v>
      </c>
      <c r="J231" s="285">
        <f t="shared" si="108"/>
        <v>0</v>
      </c>
      <c r="K231" s="286">
        <f t="shared" si="107"/>
        <v>0</v>
      </c>
      <c r="L231" s="287"/>
      <c r="M231" s="287"/>
      <c r="N231" s="287"/>
      <c r="O231" s="287"/>
      <c r="P231" s="287"/>
    </row>
    <row r="232" spans="1:16" ht="19.5" x14ac:dyDescent="0.3">
      <c r="A232" s="157"/>
      <c r="B232" s="53"/>
      <c r="C232" s="158" t="s">
        <v>16</v>
      </c>
      <c r="D232" s="159" t="s">
        <v>17</v>
      </c>
      <c r="E232" s="53"/>
      <c r="F232" s="53"/>
      <c r="G232" s="55"/>
      <c r="H232" s="289" t="s">
        <v>12</v>
      </c>
      <c r="I232" s="164"/>
      <c r="J232" s="164"/>
      <c r="K232" s="165"/>
      <c r="L232" s="161">
        <f ca="1">L233+L234+L235+L236</f>
        <v>1282700</v>
      </c>
      <c r="M232" s="58"/>
      <c r="N232" s="161">
        <f ca="1">N233+N234+N235+N236</f>
        <v>96640</v>
      </c>
      <c r="O232" s="161">
        <f ca="1">IF(L232&gt;0,N232*100/L232,0)</f>
        <v>7.5341077414828099</v>
      </c>
      <c r="P232" s="58"/>
    </row>
    <row r="233" spans="1:16" ht="18.75" x14ac:dyDescent="0.25">
      <c r="A233" s="157"/>
      <c r="B233" s="278"/>
      <c r="C233" s="53"/>
      <c r="D233" s="60" t="s">
        <v>80</v>
      </c>
      <c r="E233" s="53"/>
      <c r="F233" s="53"/>
      <c r="G233" s="55"/>
      <c r="H233" s="163" t="s">
        <v>12</v>
      </c>
      <c r="I233" s="164"/>
      <c r="J233" s="164"/>
      <c r="K233" s="165"/>
      <c r="L233" s="59">
        <f ca="1">IFERROR(__xludf.DUMMYFUNCTION("IMPORTRANGE(""https://docs.google.com/spreadsheets/d/1jTcq05yEiRwXcBMLjiodW9e4biSGYWAHcDj22rKWQ3s/edit?usp=sharing"",""กำแพงเพชร!L233"")+IMPORTRANGE(""https://docs.google.com/spreadsheets/d/1KS0zmDSZPk8KnTAbGN-Xk6MtX1YRZD0ldgdt20K4CRk/edit?usp=sharing"","&amp;"""เชียงราย!L233"")+IMPORTRANGE(""https://docs.google.com/spreadsheets/d/1rEDxBtusbi64tE0zunoIbsTVV16HeL0oJ6trHQeQ7K8/edit?usp=sharing"",""เชียงใหม่!L233"")+IMPORTRANGE(""https://docs.google.com/spreadsheets/d/1W6MnUbDkMi6xHnHko_XkFDO9kkuL6Wqyc-6OCDFjW9I/e"&amp;"dit?usp=sharing"",""ตาก!L233"")+IMPORTRANGE(""https://docs.google.com/spreadsheets/d/1IQAWArduLkta9LpYo4a_ULsyqdta6-6aDDiwpUnQT6c/edit?usp=sharing"",""นครสวรรค์!L233"")+IMPORTRANGE(""https://docs.google.com/spreadsheets/d/10s13Sk5xrltsiR-Zkbmk5DwIaDIKO8Xl"&amp;"bJAfqyT7Gvg/edit?usp=sharing"",""น่าน!L233"")+IMPORTRANGE(""https://docs.google.com/spreadsheets/d/1uu4nAn4Dbi1XREnLKKotUANlKXa7yCgRcgq8HEzQYW8/edit?usp=sharing"",""พะเยา!L233"")+IMPORTRANGE(""https://docs.google.com/spreadsheets/d/1xfJKIQxVOaPDIICqsflNlL"&amp;"u3JacTDk1FP9RH4phX7mI/edit?usp=sharing"",""พิจิตร!L233"")+IMPORTRANGE(""https://docs.google.com/spreadsheets/d/1JtRfZkJMHtEhI5RdRHxYUG4FIZHqKDpNyIuN7A1Q0_k/edit?usp=sharing"",""พิษณุโลก!L233"")+IMPORTRANGE(""https://docs.google.com/spreadsheets/d/1xlcVZWU"&amp;"Nn6SuWm0c307h32SiGkd9BaeQWlAktfD3KO8/edit?usp=sharing"",""เพชรบูรณ์!L233"")+IMPORTRANGE(""https://docs.google.com/spreadsheets/d/1lOVebEIsI9qjGXl6EX66luk7wiuP2tBaryw-wKvv4e0/edit?usp=sharing"",""แพร่!L233"")+IMPORTRANGE(""https://docs.google.com/spreadshe"&amp;"ets/d/1dQrvX0vEcN7Gu0fnZ0B5S90AeR19zth4XlExFBeExMY/edit?usp=sharing"",""แม่ฮ่องสอน!L233"")+IMPORTRANGE(""https://docs.google.com/spreadsheets/d/1DY4XTNNwjluuxqdfdn6qvOSlMRrZqUtmYcZR0ttFiG4/edit?usp=sharing"",""ลำปาง!L233"")+IMPORTRANGE(""https://docs.goog"&amp;"le.com/spreadsheets/d/1ICwG78r0OFT8biBlxnBF8r7she7gNSzOvJ958PWT09c/edit?usp=sharing"",""ลำพูน!L233"")+IMPORTRANGE(""https://docs.google.com/spreadsheets/d/1B0f2xJpZUC6Z0xXnqKlZtEPzsf6L84eP1r1Q15seqRM/edit?usp=sharing"",""สุโขทัย!L233"")+IMPORTRANGE(""http"&amp;"s://docs.google.com/spreadsheets/d/1v0b9pFQCsKUVExMei7AgY2yQkdeNQvtOssygGsXbiKo/edit?usp=sharing"",""อุตรดิตถ์!L233"")+IMPORTRANGE(""https://docs.google.com/spreadsheets/d/1UsNK1e-WWiCo2PvGqdNfdme4m17_Ezd3J69EeeiQPD0/edit?usp=sharing"",""อุทัยธานี!L233"")"),669300)</f>
        <v>669300</v>
      </c>
      <c r="M233" s="58"/>
      <c r="N233" s="59">
        <f ca="1">IFERROR(__xludf.DUMMYFUNCTION("IMPORTRANGE(""https://docs.google.com/spreadsheets/d/1jTcq05yEiRwXcBMLjiodW9e4biSGYWAHcDj22rKWQ3s/edit?usp=sharing"",""กำแพงเพชร!N233"")+IMPORTRANGE(""https://docs.google.com/spreadsheets/d/1KS0zmDSZPk8KnTAbGN-Xk6MtX1YRZD0ldgdt20K4CRk/edit?usp=sharing"","&amp;"""เชียงราย!N233"")+IMPORTRANGE(""https://docs.google.com/spreadsheets/d/1rEDxBtusbi64tE0zunoIbsTVV16HeL0oJ6trHQeQ7K8/edit?usp=sharing"",""เชียงใหม่!N233"")+IMPORTRANGE(""https://docs.google.com/spreadsheets/d/1W6MnUbDkMi6xHnHko_XkFDO9kkuL6Wqyc-6OCDFjW9I/e"&amp;"dit?usp=sharing"",""ตาก!N233"")+IMPORTRANGE(""https://docs.google.com/spreadsheets/d/1IQAWArduLkta9LpYo4a_ULsyqdta6-6aDDiwpUnQT6c/edit?usp=sharing"",""นครสวรรค์!N233"")+IMPORTRANGE(""https://docs.google.com/spreadsheets/d/10s13Sk5xrltsiR-Zkbmk5DwIaDIKO8Xl"&amp;"bJAfqyT7Gvg/edit?usp=sharing"",""น่าน!N233"")+IMPORTRANGE(""https://docs.google.com/spreadsheets/d/1uu4nAn4Dbi1XREnLKKotUANlKXa7yCgRcgq8HEzQYW8/edit?usp=sharing"",""พะเยา!N233"")+IMPORTRANGE(""https://docs.google.com/spreadsheets/d/1xfJKIQxVOaPDIICqsflNlL"&amp;"u3JacTDk1FP9RH4phX7mI/edit?usp=sharing"",""พิจิตร!N233"")+IMPORTRANGE(""https://docs.google.com/spreadsheets/d/1JtRfZkJMHtEhI5RdRHxYUG4FIZHqKDpNyIuN7A1Q0_k/edit?usp=sharing"",""พิษณุโลก!N233"")+IMPORTRANGE(""https://docs.google.com/spreadsheets/d/1xlcVZWU"&amp;"Nn6SuWm0c307h32SiGkd9BaeQWlAktfD3KO8/edit?usp=sharing"",""เพชรบูรณ์!N233"")+IMPORTRANGE(""https://docs.google.com/spreadsheets/d/1lOVebEIsI9qjGXl6EX66luk7wiuP2tBaryw-wKvv4e0/edit?usp=sharing"",""แพร่!N233"")+IMPORTRANGE(""https://docs.google.com/spreadshe"&amp;"ets/d/1dQrvX0vEcN7Gu0fnZ0B5S90AeR19zth4XlExFBeExMY/edit?usp=sharing"",""แม่ฮ่องสอน!N233"")+IMPORTRANGE(""https://docs.google.com/spreadsheets/d/1DY4XTNNwjluuxqdfdn6qvOSlMRrZqUtmYcZR0ttFiG4/edit?usp=sharing"",""ลำปาง!N233"")+IMPORTRANGE(""https://docs.goog"&amp;"le.com/spreadsheets/d/1ICwG78r0OFT8biBlxnBF8r7she7gNSzOvJ958PWT09c/edit?usp=sharing"",""ลำพูน!N233"")+IMPORTRANGE(""https://docs.google.com/spreadsheets/d/1B0f2xJpZUC6Z0xXnqKlZtEPzsf6L84eP1r1Q15seqRM/edit?usp=sharing"",""สุโขทัย!N233"")+IMPORTRANGE(""http"&amp;"s://docs.google.com/spreadsheets/d/1v0b9pFQCsKUVExMei7AgY2yQkdeNQvtOssygGsXbiKo/edit?usp=sharing"",""อุตรดิตถ์!N233"")+IMPORTRANGE(""https://docs.google.com/spreadsheets/d/1UsNK1e-WWiCo2PvGqdNfdme4m17_Ezd3J69EeeiQPD0/edit?usp=sharing"",""อุทัยธานี!N233"")"),69200)</f>
        <v>69200</v>
      </c>
      <c r="O233" s="58"/>
      <c r="P233" s="58"/>
    </row>
    <row r="234" spans="1:16" ht="18.75" x14ac:dyDescent="0.25">
      <c r="A234" s="274"/>
      <c r="B234" s="278"/>
      <c r="C234" s="278"/>
      <c r="D234" s="60" t="s">
        <v>82</v>
      </c>
      <c r="E234" s="53"/>
      <c r="F234" s="53"/>
      <c r="G234" s="55"/>
      <c r="H234" s="163" t="s">
        <v>12</v>
      </c>
      <c r="I234" s="57"/>
      <c r="J234" s="57"/>
      <c r="K234" s="58"/>
      <c r="L234" s="59">
        <f ca="1">IFERROR(__xludf.DUMMYFUNCTION("IMPORTRANGE(""https://docs.google.com/spreadsheets/d/1jTcq05yEiRwXcBMLjiodW9e4biSGYWAHcDj22rKWQ3s/edit?usp=sharing"",""กำแพงเพชร!L234"")+IMPORTRANGE(""https://docs.google.com/spreadsheets/d/1KS0zmDSZPk8KnTAbGN-Xk6MtX1YRZD0ldgdt20K4CRk/edit?usp=sharing"","&amp;"""เชียงราย!L234"")+IMPORTRANGE(""https://docs.google.com/spreadsheets/d/1rEDxBtusbi64tE0zunoIbsTVV16HeL0oJ6trHQeQ7K8/edit?usp=sharing"",""เชียงใหม่!L234"")+IMPORTRANGE(""https://docs.google.com/spreadsheets/d/1W6MnUbDkMi6xHnHko_XkFDO9kkuL6Wqyc-6OCDFjW9I/e"&amp;"dit?usp=sharing"",""ตาก!L234"")+IMPORTRANGE(""https://docs.google.com/spreadsheets/d/1IQAWArduLkta9LpYo4a_ULsyqdta6-6aDDiwpUnQT6c/edit?usp=sharing"",""นครสวรรค์!L234"")+IMPORTRANGE(""https://docs.google.com/spreadsheets/d/10s13Sk5xrltsiR-Zkbmk5DwIaDIKO8Xl"&amp;"bJAfqyT7Gvg/edit?usp=sharing"",""น่าน!L234"")+IMPORTRANGE(""https://docs.google.com/spreadsheets/d/1uu4nAn4Dbi1XREnLKKotUANlKXa7yCgRcgq8HEzQYW8/edit?usp=sharing"",""พะเยา!L234"")+IMPORTRANGE(""https://docs.google.com/spreadsheets/d/1xfJKIQxVOaPDIICqsflNlL"&amp;"u3JacTDk1FP9RH4phX7mI/edit?usp=sharing"",""พิจิตร!L234"")+IMPORTRANGE(""https://docs.google.com/spreadsheets/d/1JtRfZkJMHtEhI5RdRHxYUG4FIZHqKDpNyIuN7A1Q0_k/edit?usp=sharing"",""พิษณุโลก!L234"")+IMPORTRANGE(""https://docs.google.com/spreadsheets/d/1xlcVZWU"&amp;"Nn6SuWm0c307h32SiGkd9BaeQWlAktfD3KO8/edit?usp=sharing"",""เพชรบูรณ์!L234"")+IMPORTRANGE(""https://docs.google.com/spreadsheets/d/1lOVebEIsI9qjGXl6EX66luk7wiuP2tBaryw-wKvv4e0/edit?usp=sharing"",""แพร่!L234"")+IMPORTRANGE(""https://docs.google.com/spreadshe"&amp;"ets/d/1dQrvX0vEcN7Gu0fnZ0B5S90AeR19zth4XlExFBeExMY/edit?usp=sharing"",""แม่ฮ่องสอน!L234"")+IMPORTRANGE(""https://docs.google.com/spreadsheets/d/1DY4XTNNwjluuxqdfdn6qvOSlMRrZqUtmYcZR0ttFiG4/edit?usp=sharing"",""ลำปาง!L234"")+IMPORTRANGE(""https://docs.goog"&amp;"le.com/spreadsheets/d/1ICwG78r0OFT8biBlxnBF8r7she7gNSzOvJ958PWT09c/edit?usp=sharing"",""ลำพูน!L234"")+IMPORTRANGE(""https://docs.google.com/spreadsheets/d/1B0f2xJpZUC6Z0xXnqKlZtEPzsf6L84eP1r1Q15seqRM/edit?usp=sharing"",""สุโขทัย!L234"")+IMPORTRANGE(""http"&amp;"s://docs.google.com/spreadsheets/d/1v0b9pFQCsKUVExMei7AgY2yQkdeNQvtOssygGsXbiKo/edit?usp=sharing"",""อุตรดิตถ์!L234"")+IMPORTRANGE(""https://docs.google.com/spreadsheets/d/1UsNK1e-WWiCo2PvGqdNfdme4m17_Ezd3J69EeeiQPD0/edit?usp=sharing"",""อุทัยธานี!L234"")"),17000)</f>
        <v>17000</v>
      </c>
      <c r="M234" s="58"/>
      <c r="N234" s="59">
        <f ca="1">IFERROR(__xludf.DUMMYFUNCTION("IMPORTRANGE(""https://docs.google.com/spreadsheets/d/1jTcq05yEiRwXcBMLjiodW9e4biSGYWAHcDj22rKWQ3s/edit?usp=sharing"",""กำแพงเพชร!N234"")+IMPORTRANGE(""https://docs.google.com/spreadsheets/d/1KS0zmDSZPk8KnTAbGN-Xk6MtX1YRZD0ldgdt20K4CRk/edit?usp=sharing"","&amp;"""เชียงราย!N234"")+IMPORTRANGE(""https://docs.google.com/spreadsheets/d/1rEDxBtusbi64tE0zunoIbsTVV16HeL0oJ6trHQeQ7K8/edit?usp=sharing"",""เชียงใหม่!N234"")+IMPORTRANGE(""https://docs.google.com/spreadsheets/d/1W6MnUbDkMi6xHnHko_XkFDO9kkuL6Wqyc-6OCDFjW9I/e"&amp;"dit?usp=sharing"",""ตาก!N234"")+IMPORTRANGE(""https://docs.google.com/spreadsheets/d/1IQAWArduLkta9LpYo4a_ULsyqdta6-6aDDiwpUnQT6c/edit?usp=sharing"",""นครสวรรค์!N234"")+IMPORTRANGE(""https://docs.google.com/spreadsheets/d/10s13Sk5xrltsiR-Zkbmk5DwIaDIKO8Xl"&amp;"bJAfqyT7Gvg/edit?usp=sharing"",""น่าน!N234"")+IMPORTRANGE(""https://docs.google.com/spreadsheets/d/1uu4nAn4Dbi1XREnLKKotUANlKXa7yCgRcgq8HEzQYW8/edit?usp=sharing"",""พะเยา!N234"")+IMPORTRANGE(""https://docs.google.com/spreadsheets/d/1xfJKIQxVOaPDIICqsflNlL"&amp;"u3JacTDk1FP9RH4phX7mI/edit?usp=sharing"",""พิจิตร!N234"")+IMPORTRANGE(""https://docs.google.com/spreadsheets/d/1JtRfZkJMHtEhI5RdRHxYUG4FIZHqKDpNyIuN7A1Q0_k/edit?usp=sharing"",""พิษณุโลก!N234"")+IMPORTRANGE(""https://docs.google.com/spreadsheets/d/1xlcVZWU"&amp;"Nn6SuWm0c307h32SiGkd9BaeQWlAktfD3KO8/edit?usp=sharing"",""เพชรบูรณ์!N234"")+IMPORTRANGE(""https://docs.google.com/spreadsheets/d/1lOVebEIsI9qjGXl6EX66luk7wiuP2tBaryw-wKvv4e0/edit?usp=sharing"",""แพร่!N234"")+IMPORTRANGE(""https://docs.google.com/spreadshe"&amp;"ets/d/1dQrvX0vEcN7Gu0fnZ0B5S90AeR19zth4XlExFBeExMY/edit?usp=sharing"",""แม่ฮ่องสอน!N234"")+IMPORTRANGE(""https://docs.google.com/spreadsheets/d/1DY4XTNNwjluuxqdfdn6qvOSlMRrZqUtmYcZR0ttFiG4/edit?usp=sharing"",""ลำปาง!N234"")+IMPORTRANGE(""https://docs.goog"&amp;"le.com/spreadsheets/d/1ICwG78r0OFT8biBlxnBF8r7she7gNSzOvJ958PWT09c/edit?usp=sharing"",""ลำพูน!N234"")+IMPORTRANGE(""https://docs.google.com/spreadsheets/d/1B0f2xJpZUC6Z0xXnqKlZtEPzsf6L84eP1r1Q15seqRM/edit?usp=sharing"",""สุโขทัย!N234"")+IMPORTRANGE(""http"&amp;"s://docs.google.com/spreadsheets/d/1v0b9pFQCsKUVExMei7AgY2yQkdeNQvtOssygGsXbiKo/edit?usp=sharing"",""อุตรดิตถ์!N234"")+IMPORTRANGE(""https://docs.google.com/spreadsheets/d/1UsNK1e-WWiCo2PvGqdNfdme4m17_Ezd3J69EeeiQPD0/edit?usp=sharing"",""อุทัยธานี!N234"")"),2800)</f>
        <v>2800</v>
      </c>
      <c r="O234" s="58"/>
      <c r="P234" s="58"/>
    </row>
    <row r="235" spans="1:16" ht="18.75" x14ac:dyDescent="0.25">
      <c r="A235" s="274"/>
      <c r="B235" s="278"/>
      <c r="C235" s="278"/>
      <c r="D235" s="60" t="s">
        <v>100</v>
      </c>
      <c r="E235" s="53"/>
      <c r="F235" s="53"/>
      <c r="G235" s="55"/>
      <c r="H235" s="163" t="s">
        <v>12</v>
      </c>
      <c r="I235" s="57"/>
      <c r="J235" s="57"/>
      <c r="K235" s="58"/>
      <c r="L235" s="59">
        <f ca="1">IFERROR(__xludf.DUMMYFUNCTION("IMPORTRANGE(""https://docs.google.com/spreadsheets/d/1jTcq05yEiRwXcBMLjiodW9e4biSGYWAHcDj22rKWQ3s/edit?usp=sharing"",""กำแพงเพชร!L235"")+IMPORTRANGE(""https://docs.google.com/spreadsheets/d/1KS0zmDSZPk8KnTAbGN-Xk6MtX1YRZD0ldgdt20K4CRk/edit?usp=sharing"","&amp;"""เชียงราย!L235"")+IMPORTRANGE(""https://docs.google.com/spreadsheets/d/1rEDxBtusbi64tE0zunoIbsTVV16HeL0oJ6trHQeQ7K8/edit?usp=sharing"",""เชียงใหม่!L235"")+IMPORTRANGE(""https://docs.google.com/spreadsheets/d/1W6MnUbDkMi6xHnHko_XkFDO9kkuL6Wqyc-6OCDFjW9I/e"&amp;"dit?usp=sharing"",""ตาก!L235"")+IMPORTRANGE(""https://docs.google.com/spreadsheets/d/1IQAWArduLkta9LpYo4a_ULsyqdta6-6aDDiwpUnQT6c/edit?usp=sharing"",""นครสวรรค์!L235"")+IMPORTRANGE(""https://docs.google.com/spreadsheets/d/10s13Sk5xrltsiR-Zkbmk5DwIaDIKO8Xl"&amp;"bJAfqyT7Gvg/edit?usp=sharing"",""น่าน!L235"")+IMPORTRANGE(""https://docs.google.com/spreadsheets/d/1uu4nAn4Dbi1XREnLKKotUANlKXa7yCgRcgq8HEzQYW8/edit?usp=sharing"",""พะเยา!L235"")+IMPORTRANGE(""https://docs.google.com/spreadsheets/d/1xfJKIQxVOaPDIICqsflNlL"&amp;"u3JacTDk1FP9RH4phX7mI/edit?usp=sharing"",""พิจิตร!L235"")+IMPORTRANGE(""https://docs.google.com/spreadsheets/d/1JtRfZkJMHtEhI5RdRHxYUG4FIZHqKDpNyIuN7A1Q0_k/edit?usp=sharing"",""พิษณุโลก!L235"")+IMPORTRANGE(""https://docs.google.com/spreadsheets/d/1xlcVZWU"&amp;"Nn6SuWm0c307h32SiGkd9BaeQWlAktfD3KO8/edit?usp=sharing"",""เพชรบูรณ์!L235"")+IMPORTRANGE(""https://docs.google.com/spreadsheets/d/1lOVebEIsI9qjGXl6EX66luk7wiuP2tBaryw-wKvv4e0/edit?usp=sharing"",""แพร่!L235"")+IMPORTRANGE(""https://docs.google.com/spreadshe"&amp;"ets/d/1dQrvX0vEcN7Gu0fnZ0B5S90AeR19zth4XlExFBeExMY/edit?usp=sharing"",""แม่ฮ่องสอน!L235"")+IMPORTRANGE(""https://docs.google.com/spreadsheets/d/1DY4XTNNwjluuxqdfdn6qvOSlMRrZqUtmYcZR0ttFiG4/edit?usp=sharing"",""ลำปาง!L235"")+IMPORTRANGE(""https://docs.goog"&amp;"le.com/spreadsheets/d/1ICwG78r0OFT8biBlxnBF8r7she7gNSzOvJ958PWT09c/edit?usp=sharing"",""ลำพูน!L235"")+IMPORTRANGE(""https://docs.google.com/spreadsheets/d/1B0f2xJpZUC6Z0xXnqKlZtEPzsf6L84eP1r1Q15seqRM/edit?usp=sharing"",""สุโขทัย!L235"")+IMPORTRANGE(""http"&amp;"s://docs.google.com/spreadsheets/d/1v0b9pFQCsKUVExMei7AgY2yQkdeNQvtOssygGsXbiKo/edit?usp=sharing"",""อุตรดิตถ์!L235"")+IMPORTRANGE(""https://docs.google.com/spreadsheets/d/1UsNK1e-WWiCo2PvGqdNfdme4m17_Ezd3J69EeeiQPD0/edit?usp=sharing"",""อุทัยธานี!L235"")"),329400)</f>
        <v>329400</v>
      </c>
      <c r="M235" s="58"/>
      <c r="N235" s="59">
        <f ca="1">IFERROR(__xludf.DUMMYFUNCTION("IMPORTRANGE(""https://docs.google.com/spreadsheets/d/1jTcq05yEiRwXcBMLjiodW9e4biSGYWAHcDj22rKWQ3s/edit?usp=sharing"",""กำแพงเพชร!N235"")+IMPORTRANGE(""https://docs.google.com/spreadsheets/d/1KS0zmDSZPk8KnTAbGN-Xk6MtX1YRZD0ldgdt20K4CRk/edit?usp=sharing"","&amp;"""เชียงราย!N235"")+IMPORTRANGE(""https://docs.google.com/spreadsheets/d/1rEDxBtusbi64tE0zunoIbsTVV16HeL0oJ6trHQeQ7K8/edit?usp=sharing"",""เชียงใหม่!N235"")+IMPORTRANGE(""https://docs.google.com/spreadsheets/d/1W6MnUbDkMi6xHnHko_XkFDO9kkuL6Wqyc-6OCDFjW9I/e"&amp;"dit?usp=sharing"",""ตาก!N235"")+IMPORTRANGE(""https://docs.google.com/spreadsheets/d/1IQAWArduLkta9LpYo4a_ULsyqdta6-6aDDiwpUnQT6c/edit?usp=sharing"",""นครสวรรค์!N235"")+IMPORTRANGE(""https://docs.google.com/spreadsheets/d/10s13Sk5xrltsiR-Zkbmk5DwIaDIKO8Xl"&amp;"bJAfqyT7Gvg/edit?usp=sharing"",""น่าน!N235"")+IMPORTRANGE(""https://docs.google.com/spreadsheets/d/1uu4nAn4Dbi1XREnLKKotUANlKXa7yCgRcgq8HEzQYW8/edit?usp=sharing"",""พะเยา!N235"")+IMPORTRANGE(""https://docs.google.com/spreadsheets/d/1xfJKIQxVOaPDIICqsflNlL"&amp;"u3JacTDk1FP9RH4phX7mI/edit?usp=sharing"",""พิจิตร!N235"")+IMPORTRANGE(""https://docs.google.com/spreadsheets/d/1JtRfZkJMHtEhI5RdRHxYUG4FIZHqKDpNyIuN7A1Q0_k/edit?usp=sharing"",""พิษณุโลก!N235"")+IMPORTRANGE(""https://docs.google.com/spreadsheets/d/1xlcVZWU"&amp;"Nn6SuWm0c307h32SiGkd9BaeQWlAktfD3KO8/edit?usp=sharing"",""เพชรบูรณ์!N235"")+IMPORTRANGE(""https://docs.google.com/spreadsheets/d/1lOVebEIsI9qjGXl6EX66luk7wiuP2tBaryw-wKvv4e0/edit?usp=sharing"",""แพร่!N235"")+IMPORTRANGE(""https://docs.google.com/spreadshe"&amp;"ets/d/1dQrvX0vEcN7Gu0fnZ0B5S90AeR19zth4XlExFBeExMY/edit?usp=sharing"",""แม่ฮ่องสอน!N235"")+IMPORTRANGE(""https://docs.google.com/spreadsheets/d/1DY4XTNNwjluuxqdfdn6qvOSlMRrZqUtmYcZR0ttFiG4/edit?usp=sharing"",""ลำปาง!N235"")+IMPORTRANGE(""https://docs.goog"&amp;"le.com/spreadsheets/d/1ICwG78r0OFT8biBlxnBF8r7she7gNSzOvJ958PWT09c/edit?usp=sharing"",""ลำพูน!N235"")+IMPORTRANGE(""https://docs.google.com/spreadsheets/d/1B0f2xJpZUC6Z0xXnqKlZtEPzsf6L84eP1r1Q15seqRM/edit?usp=sharing"",""สุโขทัย!N235"")+IMPORTRANGE(""http"&amp;"s://docs.google.com/spreadsheets/d/1v0b9pFQCsKUVExMei7AgY2yQkdeNQvtOssygGsXbiKo/edit?usp=sharing"",""อุตรดิตถ์!N235"")+IMPORTRANGE(""https://docs.google.com/spreadsheets/d/1UsNK1e-WWiCo2PvGqdNfdme4m17_Ezd3J69EeeiQPD0/edit?usp=sharing"",""อุทัยธานี!N235"")"),24640)</f>
        <v>24640</v>
      </c>
      <c r="O235" s="58"/>
      <c r="P235" s="58"/>
    </row>
    <row r="236" spans="1:16" ht="18.75" x14ac:dyDescent="0.25">
      <c r="A236" s="274"/>
      <c r="B236" s="278"/>
      <c r="C236" s="278"/>
      <c r="D236" s="60" t="s">
        <v>101</v>
      </c>
      <c r="E236" s="53"/>
      <c r="F236" s="53"/>
      <c r="G236" s="55"/>
      <c r="H236" s="163" t="s">
        <v>12</v>
      </c>
      <c r="I236" s="57"/>
      <c r="J236" s="57"/>
      <c r="K236" s="58"/>
      <c r="L236" s="59">
        <f ca="1">IFERROR(__xludf.DUMMYFUNCTION("IMPORTRANGE(""https://docs.google.com/spreadsheets/d/1jTcq05yEiRwXcBMLjiodW9e4biSGYWAHcDj22rKWQ3s/edit?usp=sharing"",""กำแพงเพชร!L236"")+IMPORTRANGE(""https://docs.google.com/spreadsheets/d/1KS0zmDSZPk8KnTAbGN-Xk6MtX1YRZD0ldgdt20K4CRk/edit?usp=sharing"","&amp;"""เชียงราย!L236"")+IMPORTRANGE(""https://docs.google.com/spreadsheets/d/1rEDxBtusbi64tE0zunoIbsTVV16HeL0oJ6trHQeQ7K8/edit?usp=sharing"",""เชียงใหม่!L236"")+IMPORTRANGE(""https://docs.google.com/spreadsheets/d/1W6MnUbDkMi6xHnHko_XkFDO9kkuL6Wqyc-6OCDFjW9I/e"&amp;"dit?usp=sharing"",""ตาก!L236"")+IMPORTRANGE(""https://docs.google.com/spreadsheets/d/1IQAWArduLkta9LpYo4a_ULsyqdta6-6aDDiwpUnQT6c/edit?usp=sharing"",""นครสวรรค์!L236"")+IMPORTRANGE(""https://docs.google.com/spreadsheets/d/10s13Sk5xrltsiR-Zkbmk5DwIaDIKO8Xl"&amp;"bJAfqyT7Gvg/edit?usp=sharing"",""น่าน!L236"")+IMPORTRANGE(""https://docs.google.com/spreadsheets/d/1uu4nAn4Dbi1XREnLKKotUANlKXa7yCgRcgq8HEzQYW8/edit?usp=sharing"",""พะเยา!L236"")+IMPORTRANGE(""https://docs.google.com/spreadsheets/d/1xfJKIQxVOaPDIICqsflNlL"&amp;"u3JacTDk1FP9RH4phX7mI/edit?usp=sharing"",""พิจิตร!L236"")+IMPORTRANGE(""https://docs.google.com/spreadsheets/d/1JtRfZkJMHtEhI5RdRHxYUG4FIZHqKDpNyIuN7A1Q0_k/edit?usp=sharing"",""พิษณุโลก!L236"")+IMPORTRANGE(""https://docs.google.com/spreadsheets/d/1xlcVZWU"&amp;"Nn6SuWm0c307h32SiGkd9BaeQWlAktfD3KO8/edit?usp=sharing"",""เพชรบูรณ์!L236"")+IMPORTRANGE(""https://docs.google.com/spreadsheets/d/1lOVebEIsI9qjGXl6EX66luk7wiuP2tBaryw-wKvv4e0/edit?usp=sharing"",""แพร่!L236"")+IMPORTRANGE(""https://docs.google.com/spreadshe"&amp;"ets/d/1dQrvX0vEcN7Gu0fnZ0B5S90AeR19zth4XlExFBeExMY/edit?usp=sharing"",""แม่ฮ่องสอน!L236"")+IMPORTRANGE(""https://docs.google.com/spreadsheets/d/1DY4XTNNwjluuxqdfdn6qvOSlMRrZqUtmYcZR0ttFiG4/edit?usp=sharing"",""ลำปาง!L236"")+IMPORTRANGE(""https://docs.goog"&amp;"le.com/spreadsheets/d/1ICwG78r0OFT8biBlxnBF8r7she7gNSzOvJ958PWT09c/edit?usp=sharing"",""ลำพูน!L236"")+IMPORTRANGE(""https://docs.google.com/spreadsheets/d/1B0f2xJpZUC6Z0xXnqKlZtEPzsf6L84eP1r1Q15seqRM/edit?usp=sharing"",""สุโขทัย!L236"")+IMPORTRANGE(""http"&amp;"s://docs.google.com/spreadsheets/d/1v0b9pFQCsKUVExMei7AgY2yQkdeNQvtOssygGsXbiKo/edit?usp=sharing"",""อุตรดิตถ์!L236"")+IMPORTRANGE(""https://docs.google.com/spreadsheets/d/1UsNK1e-WWiCo2PvGqdNfdme4m17_Ezd3J69EeeiQPD0/edit?usp=sharing"",""อุทัยธานี!L236"")"),267000)</f>
        <v>267000</v>
      </c>
      <c r="M236" s="58"/>
      <c r="N236" s="59">
        <f ca="1">IFERROR(__xludf.DUMMYFUNCTION("IMPORTRANGE(""https://docs.google.com/spreadsheets/d/1jTcq05yEiRwXcBMLjiodW9e4biSGYWAHcDj22rKWQ3s/edit?usp=sharing"",""กำแพงเพชร!N236"")+IMPORTRANGE(""https://docs.google.com/spreadsheets/d/1KS0zmDSZPk8KnTAbGN-Xk6MtX1YRZD0ldgdt20K4CRk/edit?usp=sharing"","&amp;"""เชียงราย!N236"")+IMPORTRANGE(""https://docs.google.com/spreadsheets/d/1rEDxBtusbi64tE0zunoIbsTVV16HeL0oJ6trHQeQ7K8/edit?usp=sharing"",""เชียงใหม่!N236"")+IMPORTRANGE(""https://docs.google.com/spreadsheets/d/1W6MnUbDkMi6xHnHko_XkFDO9kkuL6Wqyc-6OCDFjW9I/e"&amp;"dit?usp=sharing"",""ตาก!N236"")+IMPORTRANGE(""https://docs.google.com/spreadsheets/d/1IQAWArduLkta9LpYo4a_ULsyqdta6-6aDDiwpUnQT6c/edit?usp=sharing"",""นครสวรรค์!N236"")+IMPORTRANGE(""https://docs.google.com/spreadsheets/d/10s13Sk5xrltsiR-Zkbmk5DwIaDIKO8Xl"&amp;"bJAfqyT7Gvg/edit?usp=sharing"",""น่าน!N236"")+IMPORTRANGE(""https://docs.google.com/spreadsheets/d/1uu4nAn4Dbi1XREnLKKotUANlKXa7yCgRcgq8HEzQYW8/edit?usp=sharing"",""พะเยา!N236"")+IMPORTRANGE(""https://docs.google.com/spreadsheets/d/1xfJKIQxVOaPDIICqsflNlL"&amp;"u3JacTDk1FP9RH4phX7mI/edit?usp=sharing"",""พิจิตร!N236"")+IMPORTRANGE(""https://docs.google.com/spreadsheets/d/1JtRfZkJMHtEhI5RdRHxYUG4FIZHqKDpNyIuN7A1Q0_k/edit?usp=sharing"",""พิษณุโลก!N236"")+IMPORTRANGE(""https://docs.google.com/spreadsheets/d/1xlcVZWU"&amp;"Nn6SuWm0c307h32SiGkd9BaeQWlAktfD3KO8/edit?usp=sharing"",""เพชรบูรณ์!N236"")+IMPORTRANGE(""https://docs.google.com/spreadsheets/d/1lOVebEIsI9qjGXl6EX66luk7wiuP2tBaryw-wKvv4e0/edit?usp=sharing"",""แพร่!N236"")+IMPORTRANGE(""https://docs.google.com/spreadshe"&amp;"ets/d/1dQrvX0vEcN7Gu0fnZ0B5S90AeR19zth4XlExFBeExMY/edit?usp=sharing"",""แม่ฮ่องสอน!N236"")+IMPORTRANGE(""https://docs.google.com/spreadsheets/d/1DY4XTNNwjluuxqdfdn6qvOSlMRrZqUtmYcZR0ttFiG4/edit?usp=sharing"",""ลำปาง!N236"")+IMPORTRANGE(""https://docs.goog"&amp;"le.com/spreadsheets/d/1ICwG78r0OFT8biBlxnBF8r7she7gNSzOvJ958PWT09c/edit?usp=sharing"",""ลำพูน!N236"")+IMPORTRANGE(""https://docs.google.com/spreadsheets/d/1B0f2xJpZUC6Z0xXnqKlZtEPzsf6L84eP1r1Q15seqRM/edit?usp=sharing"",""สุโขทัย!N236"")+IMPORTRANGE(""http"&amp;"s://docs.google.com/spreadsheets/d/1v0b9pFQCsKUVExMei7AgY2yQkdeNQvtOssygGsXbiKo/edit?usp=sharing"",""อุตรดิตถ์!N236"")+IMPORTRANGE(""https://docs.google.com/spreadsheets/d/1UsNK1e-WWiCo2PvGqdNfdme4m17_Ezd3J69EeeiQPD0/edit?usp=sharing"",""อุทัยธานี!N236"")"),0)</f>
        <v>0</v>
      </c>
      <c r="O236" s="58"/>
      <c r="P236" s="58"/>
    </row>
    <row r="237" spans="1:16" ht="19.5" x14ac:dyDescent="0.3">
      <c r="A237" s="167"/>
      <c r="B237" s="168"/>
      <c r="C237" s="296" t="s">
        <v>16</v>
      </c>
      <c r="D237" s="169" t="s">
        <v>36</v>
      </c>
      <c r="E237" s="170"/>
      <c r="F237" s="170"/>
      <c r="G237" s="171"/>
      <c r="H237" s="172"/>
      <c r="I237" s="164"/>
      <c r="J237" s="57"/>
      <c r="K237" s="58"/>
      <c r="L237" s="58"/>
      <c r="M237" s="58"/>
      <c r="N237" s="58"/>
      <c r="O237" s="165"/>
      <c r="P237" s="165"/>
    </row>
    <row r="238" spans="1:16" ht="18.75" x14ac:dyDescent="0.25">
      <c r="A238" s="167"/>
      <c r="B238" s="168"/>
      <c r="C238" s="168"/>
      <c r="D238" s="193" t="s">
        <v>102</v>
      </c>
      <c r="E238" s="174"/>
      <c r="F238" s="174"/>
      <c r="G238" s="172"/>
      <c r="H238" s="179" t="s">
        <v>33</v>
      </c>
      <c r="I238" s="194">
        <f ca="1">IFERROR(__xludf.DUMMYFUNCTION("IMPORTRANGE(""https://docs.google.com/spreadsheets/d/1jTcq05yEiRwXcBMLjiodW9e4biSGYWAHcDj22rKWQ3s/edit?usp=sharing"",""กำแพงเพชร!I238"")+IMPORTRANGE(""https://docs.google.com/spreadsheets/d/1KS0zmDSZPk8KnTAbGN-Xk6MtX1YRZD0ldgdt20K4CRk/edit?usp=sharing"","&amp;"""เชียงราย!I238"")+IMPORTRANGE(""https://docs.google.com/spreadsheets/d/1rEDxBtusbi64tE0zunoIbsTVV16HeL0oJ6trHQeQ7K8/edit?usp=sharing"",""เชียงใหม่!I238"")+IMPORTRANGE(""https://docs.google.com/spreadsheets/d/1W6MnUbDkMi6xHnHko_XkFDO9kkuL6Wqyc-6OCDFjW9I/e"&amp;"dit?usp=sharing"",""ตาก!I238"")+IMPORTRANGE(""https://docs.google.com/spreadsheets/d/1IQAWArduLkta9LpYo4a_ULsyqdta6-6aDDiwpUnQT6c/edit?usp=sharing"",""นครสวรรค์!I238"")+IMPORTRANGE(""https://docs.google.com/spreadsheets/d/10s13Sk5xrltsiR-Zkbmk5DwIaDIKO8Xl"&amp;"bJAfqyT7Gvg/edit?usp=sharing"",""น่าน!I238"")+IMPORTRANGE(""https://docs.google.com/spreadsheets/d/1uu4nAn4Dbi1XREnLKKotUANlKXa7yCgRcgq8HEzQYW8/edit?usp=sharing"",""พะเยา!I238"")+IMPORTRANGE(""https://docs.google.com/spreadsheets/d/1xfJKIQxVOaPDIICqsflNlL"&amp;"u3JacTDk1FP9RH4phX7mI/edit?usp=sharing"",""พิจิตร!I238"")+IMPORTRANGE(""https://docs.google.com/spreadsheets/d/1JtRfZkJMHtEhI5RdRHxYUG4FIZHqKDpNyIuN7A1Q0_k/edit?usp=sharing"",""พิษณุโลก!I238"")+IMPORTRANGE(""https://docs.google.com/spreadsheets/d/1xlcVZWU"&amp;"Nn6SuWm0c307h32SiGkd9BaeQWlAktfD3KO8/edit?usp=sharing"",""เพชรบูรณ์!I238"")+IMPORTRANGE(""https://docs.google.com/spreadsheets/d/1lOVebEIsI9qjGXl6EX66luk7wiuP2tBaryw-wKvv4e0/edit?usp=sharing"",""แพร่!I238"")+IMPORTRANGE(""https://docs.google.com/spreadshe"&amp;"ets/d/1dQrvX0vEcN7Gu0fnZ0B5S90AeR19zth4XlExFBeExMY/edit?usp=sharing"",""แม่ฮ่องสอน!I238"")+IMPORTRANGE(""https://docs.google.com/spreadsheets/d/1DY4XTNNwjluuxqdfdn6qvOSlMRrZqUtmYcZR0ttFiG4/edit?usp=sharing"",""ลำปาง!I238"")+IMPORTRANGE(""https://docs.goog"&amp;"le.com/spreadsheets/d/1ICwG78r0OFT8biBlxnBF8r7she7gNSzOvJ958PWT09c/edit?usp=sharing"",""ลำพูน!I238"")+IMPORTRANGE(""https://docs.google.com/spreadsheets/d/1B0f2xJpZUC6Z0xXnqKlZtEPzsf6L84eP1r1Q15seqRM/edit?usp=sharing"",""สุโขทัย!I238"")+IMPORTRANGE(""http"&amp;"s://docs.google.com/spreadsheets/d/1v0b9pFQCsKUVExMei7AgY2yQkdeNQvtOssygGsXbiKo/edit?usp=sharing"",""อุตรดิตถ์!I238"")+IMPORTRANGE(""https://docs.google.com/spreadsheets/d/1UsNK1e-WWiCo2PvGqdNfdme4m17_Ezd3J69EeeiQPD0/edit?usp=sharing"",""อุทัยธานี!I238"")"),210)</f>
        <v>210</v>
      </c>
      <c r="J238" s="194">
        <f ca="1">IFERROR(__xludf.DUMMYFUNCTION("IMPORTRANGE(""https://docs.google.com/spreadsheets/d/1jTcq05yEiRwXcBMLjiodW9e4biSGYWAHcDj22rKWQ3s/edit?usp=sharing"",""กำแพงเพชร!J238"")+IMPORTRANGE(""https://docs.google.com/spreadsheets/d/1KS0zmDSZPk8KnTAbGN-Xk6MtX1YRZD0ldgdt20K4CRk/edit?usp=sharing"","&amp;"""เชียงราย!J238"")+IMPORTRANGE(""https://docs.google.com/spreadsheets/d/1rEDxBtusbi64tE0zunoIbsTVV16HeL0oJ6trHQeQ7K8/edit?usp=sharing"",""เชียงใหม่!J238"")+IMPORTRANGE(""https://docs.google.com/spreadsheets/d/1W6MnUbDkMi6xHnHko_XkFDO9kkuL6Wqyc-6OCDFjW9I/e"&amp;"dit?usp=sharing"",""ตาก!J238"")+IMPORTRANGE(""https://docs.google.com/spreadsheets/d/1IQAWArduLkta9LpYo4a_ULsyqdta6-6aDDiwpUnQT6c/edit?usp=sharing"",""นครสวรรค์!J238"")+IMPORTRANGE(""https://docs.google.com/spreadsheets/d/10s13Sk5xrltsiR-Zkbmk5DwIaDIKO8Xl"&amp;"bJAfqyT7Gvg/edit?usp=sharing"",""น่าน!J238"")+IMPORTRANGE(""https://docs.google.com/spreadsheets/d/1uu4nAn4Dbi1XREnLKKotUANlKXa7yCgRcgq8HEzQYW8/edit?usp=sharing"",""พะเยา!J238"")+IMPORTRANGE(""https://docs.google.com/spreadsheets/d/1xfJKIQxVOaPDIICqsflNlL"&amp;"u3JacTDk1FP9RH4phX7mI/edit?usp=sharing"",""พิจิตร!J238"")+IMPORTRANGE(""https://docs.google.com/spreadsheets/d/1JtRfZkJMHtEhI5RdRHxYUG4FIZHqKDpNyIuN7A1Q0_k/edit?usp=sharing"",""พิษณุโลก!J238"")+IMPORTRANGE(""https://docs.google.com/spreadsheets/d/1xlcVZWU"&amp;"Nn6SuWm0c307h32SiGkd9BaeQWlAktfD3KO8/edit?usp=sharing"",""เพชรบูรณ์!J238"")+IMPORTRANGE(""https://docs.google.com/spreadsheets/d/1lOVebEIsI9qjGXl6EX66luk7wiuP2tBaryw-wKvv4e0/edit?usp=sharing"",""แพร่!J238"")+IMPORTRANGE(""https://docs.google.com/spreadshe"&amp;"ets/d/1dQrvX0vEcN7Gu0fnZ0B5S90AeR19zth4XlExFBeExMY/edit?usp=sharing"",""แม่ฮ่องสอน!J238"")+IMPORTRANGE(""https://docs.google.com/spreadsheets/d/1DY4XTNNwjluuxqdfdn6qvOSlMRrZqUtmYcZR0ttFiG4/edit?usp=sharing"",""ลำปาง!J238"")+IMPORTRANGE(""https://docs.goog"&amp;"le.com/spreadsheets/d/1ICwG78r0OFT8biBlxnBF8r7she7gNSzOvJ958PWT09c/edit?usp=sharing"",""ลำพูน!J238"")+IMPORTRANGE(""https://docs.google.com/spreadsheets/d/1B0f2xJpZUC6Z0xXnqKlZtEPzsf6L84eP1r1Q15seqRM/edit?usp=sharing"",""สุโขทัย!J238"")+IMPORTRANGE(""http"&amp;"s://docs.google.com/spreadsheets/d/1v0b9pFQCsKUVExMei7AgY2yQkdeNQvtOssygGsXbiKo/edit?usp=sharing"",""อุตรดิตถ์!J238"")+IMPORTRANGE(""https://docs.google.com/spreadsheets/d/1UsNK1e-WWiCo2PvGqdNfdme4m17_Ezd3J69EeeiQPD0/edit?usp=sharing"",""อุทัยธานี!J238"")"),10)</f>
        <v>10</v>
      </c>
      <c r="K238" s="59">
        <f ca="1">IF(I238&gt;0,J238*100/I238,0)</f>
        <v>4.7619047619047619</v>
      </c>
      <c r="L238" s="58"/>
      <c r="M238" s="58"/>
      <c r="N238" s="58"/>
      <c r="O238" s="58"/>
      <c r="P238" s="58"/>
    </row>
    <row r="239" spans="1:16" ht="18.75" x14ac:dyDescent="0.25">
      <c r="A239" s="167"/>
      <c r="B239" s="168"/>
      <c r="C239" s="168"/>
      <c r="D239" s="306" t="s">
        <v>41</v>
      </c>
      <c r="E239" s="174"/>
      <c r="F239" s="174"/>
      <c r="G239" s="172"/>
      <c r="H239" s="172"/>
      <c r="I239" s="57"/>
      <c r="J239" s="57"/>
      <c r="K239" s="58"/>
      <c r="L239" s="58"/>
      <c r="M239" s="58"/>
      <c r="N239" s="58"/>
      <c r="O239" s="165"/>
      <c r="P239" s="165"/>
    </row>
    <row r="240" spans="1:16" ht="18.75" x14ac:dyDescent="0.25">
      <c r="A240" s="167"/>
      <c r="B240" s="168"/>
      <c r="C240" s="168"/>
      <c r="D240" s="168"/>
      <c r="E240" s="173" t="s">
        <v>103</v>
      </c>
      <c r="F240" s="174"/>
      <c r="G240" s="172"/>
      <c r="H240" s="179" t="s">
        <v>33</v>
      </c>
      <c r="I240" s="181">
        <v>0</v>
      </c>
      <c r="J240" s="194">
        <f ca="1">IFERROR(__xludf.DUMMYFUNCTION("IMPORTRANGE(""https://docs.google.com/spreadsheets/d/1jTcq05yEiRwXcBMLjiodW9e4biSGYWAHcDj22rKWQ3s/edit?usp=sharing"",""กำแพงเพชร!J240"")+IMPORTRANGE(""https://docs.google.com/spreadsheets/d/1KS0zmDSZPk8KnTAbGN-Xk6MtX1YRZD0ldgdt20K4CRk/edit?usp=sharing"","&amp;"""เชียงราย!J240"")+IMPORTRANGE(""https://docs.google.com/spreadsheets/d/1rEDxBtusbi64tE0zunoIbsTVV16HeL0oJ6trHQeQ7K8/edit?usp=sharing"",""เชียงใหม่!J240"")+IMPORTRANGE(""https://docs.google.com/spreadsheets/d/1W6MnUbDkMi6xHnHko_XkFDO9kkuL6Wqyc-6OCDFjW9I/e"&amp;"dit?usp=sharing"",""ตาก!J240"")+IMPORTRANGE(""https://docs.google.com/spreadsheets/d/1IQAWArduLkta9LpYo4a_ULsyqdta6-6aDDiwpUnQT6c/edit?usp=sharing"",""นครสวรรค์!J240"")+IMPORTRANGE(""https://docs.google.com/spreadsheets/d/10s13Sk5xrltsiR-Zkbmk5DwIaDIKO8Xl"&amp;"bJAfqyT7Gvg/edit?usp=sharing"",""น่าน!J240"")+IMPORTRANGE(""https://docs.google.com/spreadsheets/d/1uu4nAn4Dbi1XREnLKKotUANlKXa7yCgRcgq8HEzQYW8/edit?usp=sharing"",""พะเยา!J240"")+IMPORTRANGE(""https://docs.google.com/spreadsheets/d/1xfJKIQxVOaPDIICqsflNlL"&amp;"u3JacTDk1FP9RH4phX7mI/edit?usp=sharing"",""พิจิตร!J240"")+IMPORTRANGE(""https://docs.google.com/spreadsheets/d/1JtRfZkJMHtEhI5RdRHxYUG4FIZHqKDpNyIuN7A1Q0_k/edit?usp=sharing"",""พิษณุโลก!J240"")+IMPORTRANGE(""https://docs.google.com/spreadsheets/d/1xlcVZWU"&amp;"Nn6SuWm0c307h32SiGkd9BaeQWlAktfD3KO8/edit?usp=sharing"",""เพชรบูรณ์!J240"")+IMPORTRANGE(""https://docs.google.com/spreadsheets/d/1lOVebEIsI9qjGXl6EX66luk7wiuP2tBaryw-wKvv4e0/edit?usp=sharing"",""แพร่!J240"")+IMPORTRANGE(""https://docs.google.com/spreadshe"&amp;"ets/d/1dQrvX0vEcN7Gu0fnZ0B5S90AeR19zth4XlExFBeExMY/edit?usp=sharing"",""แม่ฮ่องสอน!J240"")+IMPORTRANGE(""https://docs.google.com/spreadsheets/d/1DY4XTNNwjluuxqdfdn6qvOSlMRrZqUtmYcZR0ttFiG4/edit?usp=sharing"",""ลำปาง!J240"")+IMPORTRANGE(""https://docs.goog"&amp;"le.com/spreadsheets/d/1ICwG78r0OFT8biBlxnBF8r7she7gNSzOvJ958PWT09c/edit?usp=sharing"",""ลำพูน!J240"")+IMPORTRANGE(""https://docs.google.com/spreadsheets/d/1B0f2xJpZUC6Z0xXnqKlZtEPzsf6L84eP1r1Q15seqRM/edit?usp=sharing"",""สุโขทัย!J240"")+IMPORTRANGE(""http"&amp;"s://docs.google.com/spreadsheets/d/1v0b9pFQCsKUVExMei7AgY2yQkdeNQvtOssygGsXbiKo/edit?usp=sharing"",""อุตรดิตถ์!J240"")+IMPORTRANGE(""https://docs.google.com/spreadsheets/d/1UsNK1e-WWiCo2PvGqdNfdme4m17_Ezd3J69EeeiQPD0/edit?usp=sharing"",""อุทัยธานี!J240"")"),0)</f>
        <v>0</v>
      </c>
      <c r="K240" s="59">
        <f t="shared" ref="K240:K241" si="109">IF(I240&gt;0,J240*100/I240,0)</f>
        <v>0</v>
      </c>
      <c r="L240" s="58"/>
      <c r="M240" s="58"/>
      <c r="N240" s="58"/>
      <c r="O240" s="58"/>
      <c r="P240" s="58"/>
    </row>
    <row r="241" spans="1:16" ht="18.75" x14ac:dyDescent="0.25">
      <c r="A241" s="167"/>
      <c r="B241" s="168"/>
      <c r="C241" s="168"/>
      <c r="D241" s="168"/>
      <c r="E241" s="173" t="s">
        <v>104</v>
      </c>
      <c r="F241" s="174"/>
      <c r="G241" s="172"/>
      <c r="H241" s="179" t="s">
        <v>54</v>
      </c>
      <c r="I241" s="181">
        <v>0</v>
      </c>
      <c r="J241" s="194">
        <f ca="1">IFERROR(__xludf.DUMMYFUNCTION("IMPORTRANGE(""https://docs.google.com/spreadsheets/d/1jTcq05yEiRwXcBMLjiodW9e4biSGYWAHcDj22rKWQ3s/edit?usp=sharing"",""กำแพงเพชร!J241"")+IMPORTRANGE(""https://docs.google.com/spreadsheets/d/1KS0zmDSZPk8KnTAbGN-Xk6MtX1YRZD0ldgdt20K4CRk/edit?usp=sharing"","&amp;"""เชียงราย!J241"")+IMPORTRANGE(""https://docs.google.com/spreadsheets/d/1rEDxBtusbi64tE0zunoIbsTVV16HeL0oJ6trHQeQ7K8/edit?usp=sharing"",""เชียงใหม่!J241"")+IMPORTRANGE(""https://docs.google.com/spreadsheets/d/1W6MnUbDkMi6xHnHko_XkFDO9kkuL6Wqyc-6OCDFjW9I/e"&amp;"dit?usp=sharing"",""ตาก!J241"")+IMPORTRANGE(""https://docs.google.com/spreadsheets/d/1IQAWArduLkta9LpYo4a_ULsyqdta6-6aDDiwpUnQT6c/edit?usp=sharing"",""นครสวรรค์!J241"")+IMPORTRANGE(""https://docs.google.com/spreadsheets/d/10s13Sk5xrltsiR-Zkbmk5DwIaDIKO8Xl"&amp;"bJAfqyT7Gvg/edit?usp=sharing"",""น่าน!J241"")+IMPORTRANGE(""https://docs.google.com/spreadsheets/d/1uu4nAn4Dbi1XREnLKKotUANlKXa7yCgRcgq8HEzQYW8/edit?usp=sharing"",""พะเยา!J241"")+IMPORTRANGE(""https://docs.google.com/spreadsheets/d/1xfJKIQxVOaPDIICqsflNlL"&amp;"u3JacTDk1FP9RH4phX7mI/edit?usp=sharing"",""พิจิตร!J241"")+IMPORTRANGE(""https://docs.google.com/spreadsheets/d/1JtRfZkJMHtEhI5RdRHxYUG4FIZHqKDpNyIuN7A1Q0_k/edit?usp=sharing"",""พิษณุโลก!J241"")+IMPORTRANGE(""https://docs.google.com/spreadsheets/d/1xlcVZWU"&amp;"Nn6SuWm0c307h32SiGkd9BaeQWlAktfD3KO8/edit?usp=sharing"",""เพชรบูรณ์!J241"")+IMPORTRANGE(""https://docs.google.com/spreadsheets/d/1lOVebEIsI9qjGXl6EX66luk7wiuP2tBaryw-wKvv4e0/edit?usp=sharing"",""แพร่!J241"")+IMPORTRANGE(""https://docs.google.com/spreadshe"&amp;"ets/d/1dQrvX0vEcN7Gu0fnZ0B5S90AeR19zth4XlExFBeExMY/edit?usp=sharing"",""แม่ฮ่องสอน!J241"")+IMPORTRANGE(""https://docs.google.com/spreadsheets/d/1DY4XTNNwjluuxqdfdn6qvOSlMRrZqUtmYcZR0ttFiG4/edit?usp=sharing"",""ลำปาง!J241"")+IMPORTRANGE(""https://docs.goog"&amp;"le.com/spreadsheets/d/1ICwG78r0OFT8biBlxnBF8r7she7gNSzOvJ958PWT09c/edit?usp=sharing"",""ลำพูน!J241"")+IMPORTRANGE(""https://docs.google.com/spreadsheets/d/1B0f2xJpZUC6Z0xXnqKlZtEPzsf6L84eP1r1Q15seqRM/edit?usp=sharing"",""สุโขทัย!J241"")+IMPORTRANGE(""http"&amp;"s://docs.google.com/spreadsheets/d/1v0b9pFQCsKUVExMei7AgY2yQkdeNQvtOssygGsXbiKo/edit?usp=sharing"",""อุตรดิตถ์!J241"")+IMPORTRANGE(""https://docs.google.com/spreadsheets/d/1UsNK1e-WWiCo2PvGqdNfdme4m17_Ezd3J69EeeiQPD0/edit?usp=sharing"",""อุทัยธานี!J241"")"),0)</f>
        <v>0</v>
      </c>
      <c r="K241" s="59">
        <f t="shared" si="109"/>
        <v>0</v>
      </c>
      <c r="L241" s="58"/>
      <c r="M241" s="58"/>
      <c r="N241" s="58"/>
      <c r="O241" s="58"/>
      <c r="P241" s="58"/>
    </row>
    <row r="242" spans="1:16" ht="19.5" hidden="1" x14ac:dyDescent="0.3">
      <c r="A242" s="307"/>
      <c r="B242" s="308"/>
      <c r="C242" s="309" t="s">
        <v>105</v>
      </c>
      <c r="D242" s="310"/>
      <c r="E242" s="310"/>
      <c r="F242" s="310"/>
      <c r="G242" s="311"/>
      <c r="H242" s="312" t="s">
        <v>33</v>
      </c>
      <c r="I242" s="313"/>
      <c r="J242" s="313"/>
      <c r="K242" s="314"/>
      <c r="L242" s="304"/>
      <c r="M242" s="304"/>
      <c r="N242" s="304"/>
      <c r="O242" s="304"/>
      <c r="P242" s="304"/>
    </row>
    <row r="243" spans="1:16" ht="19.5" hidden="1" x14ac:dyDescent="0.3">
      <c r="A243" s="315"/>
      <c r="B243" s="310"/>
      <c r="C243" s="316" t="s">
        <v>16</v>
      </c>
      <c r="D243" s="317" t="s">
        <v>17</v>
      </c>
      <c r="E243" s="310"/>
      <c r="F243" s="310"/>
      <c r="G243" s="311"/>
      <c r="H243" s="318" t="s">
        <v>12</v>
      </c>
      <c r="I243" s="319"/>
      <c r="J243" s="319"/>
      <c r="K243" s="320"/>
      <c r="L243" s="321"/>
      <c r="M243" s="304"/>
      <c r="N243" s="321"/>
      <c r="O243" s="321"/>
      <c r="P243" s="321"/>
    </row>
    <row r="244" spans="1:16" ht="18.75" hidden="1" x14ac:dyDescent="0.25">
      <c r="A244" s="315"/>
      <c r="B244" s="308"/>
      <c r="C244" s="310"/>
      <c r="D244" s="322" t="s">
        <v>80</v>
      </c>
      <c r="E244" s="310"/>
      <c r="F244" s="310"/>
      <c r="G244" s="311"/>
      <c r="H244" s="323" t="s">
        <v>12</v>
      </c>
      <c r="I244" s="319"/>
      <c r="J244" s="319"/>
      <c r="K244" s="320"/>
      <c r="L244" s="305"/>
      <c r="M244" s="304"/>
      <c r="N244" s="324"/>
      <c r="O244" s="304"/>
      <c r="P244" s="304"/>
    </row>
    <row r="245" spans="1:16" ht="18.75" hidden="1" x14ac:dyDescent="0.25">
      <c r="A245" s="307"/>
      <c r="B245" s="308"/>
      <c r="C245" s="308"/>
      <c r="D245" s="322" t="s">
        <v>82</v>
      </c>
      <c r="E245" s="310"/>
      <c r="F245" s="310"/>
      <c r="G245" s="311"/>
      <c r="H245" s="323" t="s">
        <v>12</v>
      </c>
      <c r="I245" s="319"/>
      <c r="J245" s="319"/>
      <c r="K245" s="320"/>
      <c r="L245" s="305"/>
      <c r="M245" s="304"/>
      <c r="N245" s="324"/>
      <c r="O245" s="304"/>
      <c r="P245" s="304"/>
    </row>
    <row r="246" spans="1:16" ht="18.75" hidden="1" x14ac:dyDescent="0.25">
      <c r="A246" s="307"/>
      <c r="B246" s="308"/>
      <c r="C246" s="308"/>
      <c r="D246" s="322" t="s">
        <v>100</v>
      </c>
      <c r="E246" s="310"/>
      <c r="F246" s="310"/>
      <c r="G246" s="311"/>
      <c r="H246" s="323" t="s">
        <v>12</v>
      </c>
      <c r="I246" s="319"/>
      <c r="J246" s="319"/>
      <c r="K246" s="320"/>
      <c r="L246" s="305"/>
      <c r="M246" s="304"/>
      <c r="N246" s="324"/>
      <c r="O246" s="304"/>
      <c r="P246" s="304"/>
    </row>
    <row r="247" spans="1:16" ht="18.75" hidden="1" x14ac:dyDescent="0.25">
      <c r="A247" s="307"/>
      <c r="B247" s="308"/>
      <c r="C247" s="308"/>
      <c r="D247" s="322" t="s">
        <v>101</v>
      </c>
      <c r="E247" s="310"/>
      <c r="F247" s="310"/>
      <c r="G247" s="311"/>
      <c r="H247" s="323" t="s">
        <v>12</v>
      </c>
      <c r="I247" s="319"/>
      <c r="J247" s="319"/>
      <c r="K247" s="320"/>
      <c r="L247" s="305"/>
      <c r="M247" s="304"/>
      <c r="N247" s="324"/>
      <c r="O247" s="304"/>
      <c r="P247" s="304"/>
    </row>
    <row r="248" spans="1:16" ht="19.5" hidden="1" x14ac:dyDescent="0.3">
      <c r="A248" s="307"/>
      <c r="B248" s="308"/>
      <c r="C248" s="325" t="s">
        <v>16</v>
      </c>
      <c r="D248" s="326" t="s">
        <v>36</v>
      </c>
      <c r="E248" s="310"/>
      <c r="F248" s="310"/>
      <c r="G248" s="311"/>
      <c r="H248" s="311"/>
      <c r="I248" s="319"/>
      <c r="J248" s="319"/>
      <c r="K248" s="320"/>
      <c r="L248" s="304"/>
      <c r="M248" s="304"/>
      <c r="N248" s="304"/>
      <c r="O248" s="304"/>
      <c r="P248" s="304"/>
    </row>
    <row r="249" spans="1:16" ht="18.75" hidden="1" x14ac:dyDescent="0.25">
      <c r="A249" s="307"/>
      <c r="B249" s="308"/>
      <c r="C249" s="308"/>
      <c r="D249" s="322" t="s">
        <v>102</v>
      </c>
      <c r="E249" s="310"/>
      <c r="F249" s="310"/>
      <c r="G249" s="311"/>
      <c r="H249" s="327" t="s">
        <v>33</v>
      </c>
      <c r="I249" s="328"/>
      <c r="J249" s="329"/>
      <c r="K249" s="330"/>
      <c r="L249" s="304"/>
      <c r="M249" s="304"/>
      <c r="N249" s="304"/>
      <c r="O249" s="304"/>
      <c r="P249" s="304"/>
    </row>
    <row r="250" spans="1:16" ht="18.75" hidden="1" x14ac:dyDescent="0.25">
      <c r="A250" s="307"/>
      <c r="B250" s="308"/>
      <c r="C250" s="308"/>
      <c r="D250" s="331" t="s">
        <v>41</v>
      </c>
      <c r="E250" s="310"/>
      <c r="F250" s="310"/>
      <c r="G250" s="311"/>
      <c r="H250" s="311"/>
      <c r="I250" s="319"/>
      <c r="J250" s="319"/>
      <c r="K250" s="320"/>
      <c r="L250" s="304"/>
      <c r="M250" s="304"/>
      <c r="N250" s="304"/>
      <c r="O250" s="304"/>
      <c r="P250" s="304"/>
    </row>
    <row r="251" spans="1:16" ht="18.75" hidden="1" x14ac:dyDescent="0.25">
      <c r="A251" s="307"/>
      <c r="B251" s="308"/>
      <c r="C251" s="308"/>
      <c r="D251" s="308"/>
      <c r="E251" s="332" t="s">
        <v>103</v>
      </c>
      <c r="F251" s="310"/>
      <c r="G251" s="311"/>
      <c r="H251" s="327" t="s">
        <v>33</v>
      </c>
      <c r="I251" s="329"/>
      <c r="J251" s="329"/>
      <c r="K251" s="330"/>
      <c r="L251" s="304"/>
      <c r="M251" s="304"/>
      <c r="N251" s="304"/>
      <c r="O251" s="304"/>
      <c r="P251" s="304"/>
    </row>
    <row r="252" spans="1:16" ht="18.75" hidden="1" x14ac:dyDescent="0.25">
      <c r="A252" s="307"/>
      <c r="B252" s="308"/>
      <c r="C252" s="308"/>
      <c r="D252" s="308"/>
      <c r="E252" s="332" t="s">
        <v>104</v>
      </c>
      <c r="F252" s="310"/>
      <c r="G252" s="311"/>
      <c r="H252" s="327" t="s">
        <v>54</v>
      </c>
      <c r="I252" s="329"/>
      <c r="J252" s="329"/>
      <c r="K252" s="330"/>
      <c r="L252" s="304"/>
      <c r="M252" s="304"/>
      <c r="N252" s="304"/>
      <c r="O252" s="304"/>
      <c r="P252" s="304"/>
    </row>
    <row r="253" spans="1:16" ht="19.5" hidden="1" x14ac:dyDescent="0.3">
      <c r="A253" s="307"/>
      <c r="B253" s="308"/>
      <c r="C253" s="309" t="s">
        <v>106</v>
      </c>
      <c r="D253" s="310"/>
      <c r="E253" s="310"/>
      <c r="F253" s="310"/>
      <c r="G253" s="311"/>
      <c r="H253" s="312" t="s">
        <v>33</v>
      </c>
      <c r="I253" s="313"/>
      <c r="J253" s="313"/>
      <c r="K253" s="314"/>
      <c r="L253" s="304"/>
      <c r="M253" s="304"/>
      <c r="N253" s="304"/>
      <c r="O253" s="304"/>
      <c r="P253" s="304"/>
    </row>
    <row r="254" spans="1:16" ht="19.5" hidden="1" x14ac:dyDescent="0.3">
      <c r="A254" s="315"/>
      <c r="B254" s="310"/>
      <c r="C254" s="316" t="s">
        <v>16</v>
      </c>
      <c r="D254" s="326" t="s">
        <v>17</v>
      </c>
      <c r="E254" s="310"/>
      <c r="F254" s="310"/>
      <c r="G254" s="311"/>
      <c r="H254" s="318" t="s">
        <v>12</v>
      </c>
      <c r="I254" s="319"/>
      <c r="J254" s="319"/>
      <c r="K254" s="320"/>
      <c r="L254" s="321"/>
      <c r="M254" s="304"/>
      <c r="N254" s="321"/>
      <c r="O254" s="321"/>
      <c r="P254" s="321"/>
    </row>
    <row r="255" spans="1:16" ht="18.75" hidden="1" x14ac:dyDescent="0.25">
      <c r="A255" s="315"/>
      <c r="B255" s="308"/>
      <c r="C255" s="310"/>
      <c r="D255" s="322" t="s">
        <v>80</v>
      </c>
      <c r="E255" s="310"/>
      <c r="F255" s="310"/>
      <c r="G255" s="311"/>
      <c r="H255" s="323" t="s">
        <v>12</v>
      </c>
      <c r="I255" s="319"/>
      <c r="J255" s="319"/>
      <c r="K255" s="320"/>
      <c r="L255" s="305"/>
      <c r="M255" s="304"/>
      <c r="N255" s="305"/>
      <c r="O255" s="304"/>
      <c r="P255" s="304"/>
    </row>
    <row r="256" spans="1:16" ht="18.75" hidden="1" x14ac:dyDescent="0.25">
      <c r="A256" s="307"/>
      <c r="B256" s="308"/>
      <c r="C256" s="308"/>
      <c r="D256" s="322" t="s">
        <v>82</v>
      </c>
      <c r="E256" s="310"/>
      <c r="F256" s="310"/>
      <c r="G256" s="311"/>
      <c r="H256" s="323" t="s">
        <v>12</v>
      </c>
      <c r="I256" s="319"/>
      <c r="J256" s="319"/>
      <c r="K256" s="320"/>
      <c r="L256" s="305"/>
      <c r="M256" s="304"/>
      <c r="N256" s="305"/>
      <c r="O256" s="304"/>
      <c r="P256" s="304"/>
    </row>
    <row r="257" spans="1:16" ht="18.75" hidden="1" x14ac:dyDescent="0.25">
      <c r="A257" s="307"/>
      <c r="B257" s="308"/>
      <c r="C257" s="308"/>
      <c r="D257" s="322" t="s">
        <v>100</v>
      </c>
      <c r="E257" s="310"/>
      <c r="F257" s="310"/>
      <c r="G257" s="311"/>
      <c r="H257" s="323" t="s">
        <v>12</v>
      </c>
      <c r="I257" s="319"/>
      <c r="J257" s="319"/>
      <c r="K257" s="320"/>
      <c r="L257" s="305"/>
      <c r="M257" s="304"/>
      <c r="N257" s="305"/>
      <c r="O257" s="304"/>
      <c r="P257" s="304"/>
    </row>
    <row r="258" spans="1:16" ht="18.75" hidden="1" x14ac:dyDescent="0.25">
      <c r="A258" s="307"/>
      <c r="B258" s="308"/>
      <c r="C258" s="308"/>
      <c r="D258" s="322" t="s">
        <v>101</v>
      </c>
      <c r="E258" s="310"/>
      <c r="F258" s="310"/>
      <c r="G258" s="311"/>
      <c r="H258" s="323" t="s">
        <v>12</v>
      </c>
      <c r="I258" s="319"/>
      <c r="J258" s="319"/>
      <c r="K258" s="320"/>
      <c r="L258" s="305"/>
      <c r="M258" s="304"/>
      <c r="N258" s="305"/>
      <c r="O258" s="304"/>
      <c r="P258" s="304"/>
    </row>
    <row r="259" spans="1:16" ht="19.5" hidden="1" x14ac:dyDescent="0.3">
      <c r="A259" s="307"/>
      <c r="B259" s="308"/>
      <c r="C259" s="325" t="s">
        <v>16</v>
      </c>
      <c r="D259" s="326" t="s">
        <v>36</v>
      </c>
      <c r="E259" s="310"/>
      <c r="F259" s="310"/>
      <c r="G259" s="311"/>
      <c r="H259" s="311"/>
      <c r="I259" s="319"/>
      <c r="J259" s="319"/>
      <c r="K259" s="320"/>
      <c r="L259" s="304"/>
      <c r="M259" s="304"/>
      <c r="N259" s="304"/>
      <c r="O259" s="304"/>
      <c r="P259" s="304"/>
    </row>
    <row r="260" spans="1:16" ht="18.75" hidden="1" x14ac:dyDescent="0.25">
      <c r="A260" s="307"/>
      <c r="B260" s="308"/>
      <c r="C260" s="308"/>
      <c r="D260" s="322" t="s">
        <v>102</v>
      </c>
      <c r="E260" s="310"/>
      <c r="F260" s="310"/>
      <c r="G260" s="311"/>
      <c r="H260" s="327" t="s">
        <v>33</v>
      </c>
      <c r="I260" s="328"/>
      <c r="J260" s="328"/>
      <c r="K260" s="330"/>
      <c r="L260" s="304"/>
      <c r="M260" s="304"/>
      <c r="N260" s="304"/>
      <c r="O260" s="304"/>
      <c r="P260" s="304"/>
    </row>
    <row r="261" spans="1:16" ht="18.75" hidden="1" x14ac:dyDescent="0.25">
      <c r="A261" s="307"/>
      <c r="B261" s="308"/>
      <c r="C261" s="308"/>
      <c r="D261" s="331" t="s">
        <v>41</v>
      </c>
      <c r="E261" s="310"/>
      <c r="F261" s="310"/>
      <c r="G261" s="311"/>
      <c r="H261" s="311"/>
      <c r="I261" s="319"/>
      <c r="J261" s="319"/>
      <c r="K261" s="320"/>
      <c r="L261" s="304"/>
      <c r="M261" s="304"/>
      <c r="N261" s="304"/>
      <c r="O261" s="304"/>
      <c r="P261" s="304"/>
    </row>
    <row r="262" spans="1:16" ht="18.75" hidden="1" x14ac:dyDescent="0.25">
      <c r="A262" s="307"/>
      <c r="B262" s="308"/>
      <c r="C262" s="308"/>
      <c r="D262" s="308"/>
      <c r="E262" s="332" t="s">
        <v>103</v>
      </c>
      <c r="F262" s="310"/>
      <c r="G262" s="311"/>
      <c r="H262" s="327" t="s">
        <v>33</v>
      </c>
      <c r="I262" s="319"/>
      <c r="J262" s="328"/>
      <c r="K262" s="330"/>
      <c r="L262" s="304"/>
      <c r="M262" s="304"/>
      <c r="N262" s="304"/>
      <c r="O262" s="304"/>
      <c r="P262" s="304"/>
    </row>
    <row r="263" spans="1:16" ht="18.75" hidden="1" x14ac:dyDescent="0.25">
      <c r="A263" s="307"/>
      <c r="B263" s="308"/>
      <c r="C263" s="308"/>
      <c r="D263" s="308"/>
      <c r="E263" s="332" t="s">
        <v>104</v>
      </c>
      <c r="F263" s="310"/>
      <c r="G263" s="311"/>
      <c r="H263" s="327" t="s">
        <v>54</v>
      </c>
      <c r="I263" s="319"/>
      <c r="J263" s="328"/>
      <c r="K263" s="330"/>
      <c r="L263" s="304"/>
      <c r="M263" s="304"/>
      <c r="N263" s="304"/>
      <c r="O263" s="304"/>
      <c r="P263" s="304"/>
    </row>
    <row r="264" spans="1:16" ht="19.5" x14ac:dyDescent="0.3">
      <c r="A264" s="261" t="s">
        <v>107</v>
      </c>
      <c r="B264" s="262"/>
      <c r="C264" s="262"/>
      <c r="D264" s="263"/>
      <c r="E264" s="263"/>
      <c r="F264" s="263"/>
      <c r="G264" s="264"/>
      <c r="H264" s="264"/>
      <c r="I264" s="265"/>
      <c r="J264" s="265"/>
      <c r="K264" s="266"/>
      <c r="L264" s="266"/>
      <c r="M264" s="266"/>
      <c r="N264" s="266"/>
      <c r="O264" s="266"/>
      <c r="P264" s="266"/>
    </row>
    <row r="265" spans="1:16" ht="19.5" x14ac:dyDescent="0.3">
      <c r="A265" s="267"/>
      <c r="B265" s="268" t="s">
        <v>108</v>
      </c>
      <c r="C265" s="269"/>
      <c r="D265" s="170"/>
      <c r="E265" s="170"/>
      <c r="F265" s="170"/>
      <c r="G265" s="171"/>
      <c r="H265" s="270" t="s">
        <v>33</v>
      </c>
      <c r="I265" s="333">
        <v>0</v>
      </c>
      <c r="J265" s="333">
        <v>0</v>
      </c>
      <c r="K265" s="272">
        <f>IF(I265&gt;0,J265*100/I265,0)</f>
        <v>0</v>
      </c>
      <c r="L265" s="273"/>
      <c r="M265" s="273"/>
      <c r="N265" s="273"/>
      <c r="O265" s="273"/>
      <c r="P265" s="273"/>
    </row>
    <row r="266" spans="1:16" ht="19.5" x14ac:dyDescent="0.3">
      <c r="A266" s="157"/>
      <c r="B266" s="53"/>
      <c r="C266" s="158" t="s">
        <v>16</v>
      </c>
      <c r="D266" s="159" t="s">
        <v>17</v>
      </c>
      <c r="E266" s="53"/>
      <c r="F266" s="53"/>
      <c r="G266" s="55"/>
      <c r="H266" s="160" t="s">
        <v>12</v>
      </c>
      <c r="I266" s="57"/>
      <c r="J266" s="57"/>
      <c r="K266" s="58"/>
      <c r="L266" s="161">
        <f t="shared" ref="L266:N266" ca="1" si="110">L267+L268</f>
        <v>0</v>
      </c>
      <c r="M266" s="161">
        <f t="shared" ca="1" si="110"/>
        <v>0</v>
      </c>
      <c r="N266" s="161">
        <f t="shared" ca="1" si="110"/>
        <v>0</v>
      </c>
      <c r="O266" s="161">
        <f t="shared" ref="O266:O274" ca="1" si="111">IF(L266&gt;0,N266*100/L266,0)</f>
        <v>0</v>
      </c>
      <c r="P266" s="161">
        <f t="shared" ref="P266:P274" ca="1" si="112">IF(M266&gt;0,N266*100/M266,0)</f>
        <v>0</v>
      </c>
    </row>
    <row r="267" spans="1:16" ht="18.75" x14ac:dyDescent="0.25">
      <c r="A267" s="157"/>
      <c r="B267" s="53"/>
      <c r="C267" s="53"/>
      <c r="D267" s="53"/>
      <c r="E267" s="60" t="s">
        <v>18</v>
      </c>
      <c r="F267" s="53"/>
      <c r="G267" s="55"/>
      <c r="H267" s="162" t="s">
        <v>12</v>
      </c>
      <c r="I267" s="57"/>
      <c r="J267" s="57"/>
      <c r="K267" s="58"/>
      <c r="L267" s="59">
        <f t="shared" ref="L267:N267" ca="1" si="113">L270+L273</f>
        <v>0</v>
      </c>
      <c r="M267" s="59">
        <f t="shared" ca="1" si="113"/>
        <v>0</v>
      </c>
      <c r="N267" s="59">
        <f t="shared" ca="1" si="113"/>
        <v>0</v>
      </c>
      <c r="O267" s="59">
        <f t="shared" ca="1" si="111"/>
        <v>0</v>
      </c>
      <c r="P267" s="59">
        <f t="shared" ca="1" si="112"/>
        <v>0</v>
      </c>
    </row>
    <row r="268" spans="1:16" ht="18.75" x14ac:dyDescent="0.25">
      <c r="A268" s="157"/>
      <c r="B268" s="53"/>
      <c r="C268" s="53"/>
      <c r="D268" s="53"/>
      <c r="E268" s="60" t="s">
        <v>19</v>
      </c>
      <c r="F268" s="53"/>
      <c r="G268" s="55"/>
      <c r="H268" s="162" t="s">
        <v>12</v>
      </c>
      <c r="I268" s="57"/>
      <c r="J268" s="57"/>
      <c r="K268" s="58"/>
      <c r="L268" s="59">
        <f t="shared" ref="L268:N268" ca="1" si="114">L271+L274</f>
        <v>0</v>
      </c>
      <c r="M268" s="59">
        <f t="shared" ca="1" si="114"/>
        <v>0</v>
      </c>
      <c r="N268" s="59">
        <f t="shared" ca="1" si="114"/>
        <v>0</v>
      </c>
      <c r="O268" s="59">
        <f t="shared" ca="1" si="111"/>
        <v>0</v>
      </c>
      <c r="P268" s="59">
        <f t="shared" ca="1" si="112"/>
        <v>0</v>
      </c>
    </row>
    <row r="269" spans="1:16" ht="18.75" x14ac:dyDescent="0.25">
      <c r="A269" s="157"/>
      <c r="B269" s="53"/>
      <c r="C269" s="53"/>
      <c r="D269" s="54" t="s">
        <v>20</v>
      </c>
      <c r="E269" s="53"/>
      <c r="F269" s="53"/>
      <c r="G269" s="55"/>
      <c r="H269" s="163" t="s">
        <v>12</v>
      </c>
      <c r="I269" s="164"/>
      <c r="J269" s="164"/>
      <c r="K269" s="165"/>
      <c r="L269" s="59">
        <f t="shared" ref="L269:N269" ca="1" si="115">L270+L271</f>
        <v>0</v>
      </c>
      <c r="M269" s="59">
        <f t="shared" ca="1" si="115"/>
        <v>0</v>
      </c>
      <c r="N269" s="59">
        <f t="shared" ca="1" si="115"/>
        <v>0</v>
      </c>
      <c r="O269" s="59">
        <f t="shared" ca="1" si="111"/>
        <v>0</v>
      </c>
      <c r="P269" s="59">
        <f t="shared" ca="1" si="112"/>
        <v>0</v>
      </c>
    </row>
    <row r="270" spans="1:16" ht="18.75" x14ac:dyDescent="0.25">
      <c r="A270" s="157"/>
      <c r="B270" s="53"/>
      <c r="C270" s="53"/>
      <c r="D270" s="53"/>
      <c r="E270" s="60" t="s">
        <v>34</v>
      </c>
      <c r="F270" s="53"/>
      <c r="G270" s="55"/>
      <c r="H270" s="163" t="s">
        <v>12</v>
      </c>
      <c r="I270" s="164"/>
      <c r="J270" s="164"/>
      <c r="K270" s="165"/>
      <c r="L270" s="59">
        <f ca="1">IFERROR(__xludf.DUMMYFUNCTION("IMPORTRANGE(""https://docs.google.com/spreadsheets/d/1jTcq05yEiRwXcBMLjiodW9e4biSGYWAHcDj22rKWQ3s/edit?usp=sharing"",""กำแพงเพชร!L270"")+IMPORTRANGE(""https://docs.google.com/spreadsheets/d/1KS0zmDSZPk8KnTAbGN-Xk6MtX1YRZD0ldgdt20K4CRk/edit?usp=sharing"","&amp;"""เชียงราย!L270"")+IMPORTRANGE(""https://docs.google.com/spreadsheets/d/1rEDxBtusbi64tE0zunoIbsTVV16HeL0oJ6trHQeQ7K8/edit?usp=sharing"",""เชียงใหม่!L270"")+IMPORTRANGE(""https://docs.google.com/spreadsheets/d/1W6MnUbDkMi6xHnHko_XkFDO9kkuL6Wqyc-6OCDFjW9I/e"&amp;"dit?usp=sharing"",""ตาก!L270"")+IMPORTRANGE(""https://docs.google.com/spreadsheets/d/1IQAWArduLkta9LpYo4a_ULsyqdta6-6aDDiwpUnQT6c/edit?usp=sharing"",""นครสวรรค์!L270"")+IMPORTRANGE(""https://docs.google.com/spreadsheets/d/10s13Sk5xrltsiR-Zkbmk5DwIaDIKO8Xl"&amp;"bJAfqyT7Gvg/edit?usp=sharing"",""น่าน!L270"")+IMPORTRANGE(""https://docs.google.com/spreadsheets/d/1uu4nAn4Dbi1XREnLKKotUANlKXa7yCgRcgq8HEzQYW8/edit?usp=sharing"",""พะเยา!L270"")+IMPORTRANGE(""https://docs.google.com/spreadsheets/d/1xfJKIQxVOaPDIICqsflNlL"&amp;"u3JacTDk1FP9RH4phX7mI/edit?usp=sharing"",""พิจิตร!L270"")+IMPORTRANGE(""https://docs.google.com/spreadsheets/d/1JtRfZkJMHtEhI5RdRHxYUG4FIZHqKDpNyIuN7A1Q0_k/edit?usp=sharing"",""พิษณุโลก!L270"")+IMPORTRANGE(""https://docs.google.com/spreadsheets/d/1xlcVZWU"&amp;"Nn6SuWm0c307h32SiGkd9BaeQWlAktfD3KO8/edit?usp=sharing"",""เพชรบูรณ์!L270"")+IMPORTRANGE(""https://docs.google.com/spreadsheets/d/1lOVebEIsI9qjGXl6EX66luk7wiuP2tBaryw-wKvv4e0/edit?usp=sharing"",""แพร่!L270"")+IMPORTRANGE(""https://docs.google.com/spreadshe"&amp;"ets/d/1dQrvX0vEcN7Gu0fnZ0B5S90AeR19zth4XlExFBeExMY/edit?usp=sharing"",""แม่ฮ่องสอน!L270"")+IMPORTRANGE(""https://docs.google.com/spreadsheets/d/1DY4XTNNwjluuxqdfdn6qvOSlMRrZqUtmYcZR0ttFiG4/edit?usp=sharing"",""ลำปาง!L270"")+IMPORTRANGE(""https://docs.goog"&amp;"le.com/spreadsheets/d/1ICwG78r0OFT8biBlxnBF8r7she7gNSzOvJ958PWT09c/edit?usp=sharing"",""ลำพูน!L270"")+IMPORTRANGE(""https://docs.google.com/spreadsheets/d/1B0f2xJpZUC6Z0xXnqKlZtEPzsf6L84eP1r1Q15seqRM/edit?usp=sharing"",""สุโขทัย!L270"")+IMPORTRANGE(""http"&amp;"s://docs.google.com/spreadsheets/d/1v0b9pFQCsKUVExMei7AgY2yQkdeNQvtOssygGsXbiKo/edit?usp=sharing"",""อุตรดิตถ์!L270"")+IMPORTRANGE(""https://docs.google.com/spreadsheets/d/1UsNK1e-WWiCo2PvGqdNfdme4m17_Ezd3J69EeeiQPD0/edit?usp=sharing"",""อุทัยธานี!L270"")"),0)</f>
        <v>0</v>
      </c>
      <c r="M270" s="59">
        <f ca="1">IFERROR(__xludf.DUMMYFUNCTION("IMPORTRANGE(""https://docs.google.com/spreadsheets/d/1jTcq05yEiRwXcBMLjiodW9e4biSGYWAHcDj22rKWQ3s/edit?usp=sharing"",""กำแพงเพชร!M270"")+IMPORTRANGE(""https://docs.google.com/spreadsheets/d/1KS0zmDSZPk8KnTAbGN-Xk6MtX1YRZD0ldgdt20K4CRk/edit?usp=sharing"","&amp;"""เชียงราย!M270"")+IMPORTRANGE(""https://docs.google.com/spreadsheets/d/1rEDxBtusbi64tE0zunoIbsTVV16HeL0oJ6trHQeQ7K8/edit?usp=sharing"",""เชียงใหม่!M270"")+IMPORTRANGE(""https://docs.google.com/spreadsheets/d/1W6MnUbDkMi6xHnHko_XkFDO9kkuL6Wqyc-6OCDFjW9I/e"&amp;"dit?usp=sharing"",""ตาก!M270"")+IMPORTRANGE(""https://docs.google.com/spreadsheets/d/1IQAWArduLkta9LpYo4a_ULsyqdta6-6aDDiwpUnQT6c/edit?usp=sharing"",""นครสวรรค์!M270"")+IMPORTRANGE(""https://docs.google.com/spreadsheets/d/10s13Sk5xrltsiR-Zkbmk5DwIaDIKO8Xl"&amp;"bJAfqyT7Gvg/edit?usp=sharing"",""น่าน!M270"")+IMPORTRANGE(""https://docs.google.com/spreadsheets/d/1uu4nAn4Dbi1XREnLKKotUANlKXa7yCgRcgq8HEzQYW8/edit?usp=sharing"",""พะเยา!M270"")+IMPORTRANGE(""https://docs.google.com/spreadsheets/d/1xfJKIQxVOaPDIICqsflNlL"&amp;"u3JacTDk1FP9RH4phX7mI/edit?usp=sharing"",""พิจิตร!M270"")+IMPORTRANGE(""https://docs.google.com/spreadsheets/d/1JtRfZkJMHtEhI5RdRHxYUG4FIZHqKDpNyIuN7A1Q0_k/edit?usp=sharing"",""พิษณุโลก!M270"")+IMPORTRANGE(""https://docs.google.com/spreadsheets/d/1xlcVZWU"&amp;"Nn6SuWm0c307h32SiGkd9BaeQWlAktfD3KO8/edit?usp=sharing"",""เพชรบูรณ์!M270"")+IMPORTRANGE(""https://docs.google.com/spreadsheets/d/1lOVebEIsI9qjGXl6EX66luk7wiuP2tBaryw-wKvv4e0/edit?usp=sharing"",""แพร่!M270"")+IMPORTRANGE(""https://docs.google.com/spreadshe"&amp;"ets/d/1dQrvX0vEcN7Gu0fnZ0B5S90AeR19zth4XlExFBeExMY/edit?usp=sharing"",""แม่ฮ่องสอน!M270"")+IMPORTRANGE(""https://docs.google.com/spreadsheets/d/1DY4XTNNwjluuxqdfdn6qvOSlMRrZqUtmYcZR0ttFiG4/edit?usp=sharing"",""ลำปาง!M270"")+IMPORTRANGE(""https://docs.goog"&amp;"le.com/spreadsheets/d/1ICwG78r0OFT8biBlxnBF8r7she7gNSzOvJ958PWT09c/edit?usp=sharing"",""ลำพูน!M270"")+IMPORTRANGE(""https://docs.google.com/spreadsheets/d/1B0f2xJpZUC6Z0xXnqKlZtEPzsf6L84eP1r1Q15seqRM/edit?usp=sharing"",""สุโขทัย!M270"")+IMPORTRANGE(""http"&amp;"s://docs.google.com/spreadsheets/d/1v0b9pFQCsKUVExMei7AgY2yQkdeNQvtOssygGsXbiKo/edit?usp=sharing"",""อุตรดิตถ์!M270"")+IMPORTRANGE(""https://docs.google.com/spreadsheets/d/1UsNK1e-WWiCo2PvGqdNfdme4m17_Ezd3J69EeeiQPD0/edit?usp=sharing"",""อุทัยธานี!M270"")"),0)</f>
        <v>0</v>
      </c>
      <c r="N270" s="59">
        <f ca="1">IFERROR(__xludf.DUMMYFUNCTION("IMPORTRANGE(""https://docs.google.com/spreadsheets/d/1jTcq05yEiRwXcBMLjiodW9e4biSGYWAHcDj22rKWQ3s/edit?usp=sharing"",""กำแพงเพชร!N270"")+IMPORTRANGE(""https://docs.google.com/spreadsheets/d/1KS0zmDSZPk8KnTAbGN-Xk6MtX1YRZD0ldgdt20K4CRk/edit?usp=sharing"","&amp;"""เชียงราย!N270"")+IMPORTRANGE(""https://docs.google.com/spreadsheets/d/1rEDxBtusbi64tE0zunoIbsTVV16HeL0oJ6trHQeQ7K8/edit?usp=sharing"",""เชียงใหม่!N270"")+IMPORTRANGE(""https://docs.google.com/spreadsheets/d/1W6MnUbDkMi6xHnHko_XkFDO9kkuL6Wqyc-6OCDFjW9I/e"&amp;"dit?usp=sharing"",""ตาก!N270"")+IMPORTRANGE(""https://docs.google.com/spreadsheets/d/1IQAWArduLkta9LpYo4a_ULsyqdta6-6aDDiwpUnQT6c/edit?usp=sharing"",""นครสวรรค์!N270"")+IMPORTRANGE(""https://docs.google.com/spreadsheets/d/10s13Sk5xrltsiR-Zkbmk5DwIaDIKO8Xl"&amp;"bJAfqyT7Gvg/edit?usp=sharing"",""น่าน!N270"")+IMPORTRANGE(""https://docs.google.com/spreadsheets/d/1uu4nAn4Dbi1XREnLKKotUANlKXa7yCgRcgq8HEzQYW8/edit?usp=sharing"",""พะเยา!N270"")+IMPORTRANGE(""https://docs.google.com/spreadsheets/d/1xfJKIQxVOaPDIICqsflNlL"&amp;"u3JacTDk1FP9RH4phX7mI/edit?usp=sharing"",""พิจิตร!N270"")+IMPORTRANGE(""https://docs.google.com/spreadsheets/d/1JtRfZkJMHtEhI5RdRHxYUG4FIZHqKDpNyIuN7A1Q0_k/edit?usp=sharing"",""พิษณุโลก!N270"")+IMPORTRANGE(""https://docs.google.com/spreadsheets/d/1xlcVZWU"&amp;"Nn6SuWm0c307h32SiGkd9BaeQWlAktfD3KO8/edit?usp=sharing"",""เพชรบูรณ์!N270"")+IMPORTRANGE(""https://docs.google.com/spreadsheets/d/1lOVebEIsI9qjGXl6EX66luk7wiuP2tBaryw-wKvv4e0/edit?usp=sharing"",""แพร่!N270"")+IMPORTRANGE(""https://docs.google.com/spreadshe"&amp;"ets/d/1dQrvX0vEcN7Gu0fnZ0B5S90AeR19zth4XlExFBeExMY/edit?usp=sharing"",""แม่ฮ่องสอน!N270"")+IMPORTRANGE(""https://docs.google.com/spreadsheets/d/1DY4XTNNwjluuxqdfdn6qvOSlMRrZqUtmYcZR0ttFiG4/edit?usp=sharing"",""ลำปาง!N270"")+IMPORTRANGE(""https://docs.goog"&amp;"le.com/spreadsheets/d/1ICwG78r0OFT8biBlxnBF8r7she7gNSzOvJ958PWT09c/edit?usp=sharing"",""ลำพูน!N270"")+IMPORTRANGE(""https://docs.google.com/spreadsheets/d/1B0f2xJpZUC6Z0xXnqKlZtEPzsf6L84eP1r1Q15seqRM/edit?usp=sharing"",""สุโขทัย!N270"")+IMPORTRANGE(""http"&amp;"s://docs.google.com/spreadsheets/d/1v0b9pFQCsKUVExMei7AgY2yQkdeNQvtOssygGsXbiKo/edit?usp=sharing"",""อุตรดิตถ์!N270"")+IMPORTRANGE(""https://docs.google.com/spreadsheets/d/1UsNK1e-WWiCo2PvGqdNfdme4m17_Ezd3J69EeeiQPD0/edit?usp=sharing"",""อุทัยธานี!N270"")"),0)</f>
        <v>0</v>
      </c>
      <c r="O270" s="59">
        <f t="shared" ca="1" si="111"/>
        <v>0</v>
      </c>
      <c r="P270" s="59">
        <f t="shared" ca="1" si="112"/>
        <v>0</v>
      </c>
    </row>
    <row r="271" spans="1:16" ht="18.75" x14ac:dyDescent="0.25">
      <c r="A271" s="157"/>
      <c r="B271" s="53"/>
      <c r="C271" s="53"/>
      <c r="D271" s="53"/>
      <c r="E271" s="60" t="s">
        <v>35</v>
      </c>
      <c r="F271" s="53"/>
      <c r="G271" s="55"/>
      <c r="H271" s="163" t="s">
        <v>12</v>
      </c>
      <c r="I271" s="164"/>
      <c r="J271" s="164"/>
      <c r="K271" s="165"/>
      <c r="L271" s="59">
        <f ca="1">IFERROR(__xludf.DUMMYFUNCTION("IMPORTRANGE(""https://docs.google.com/spreadsheets/d/1jTcq05yEiRwXcBMLjiodW9e4biSGYWAHcDj22rKWQ3s/edit?usp=sharing"",""กำแพงเพชร!L271"")+IMPORTRANGE(""https://docs.google.com/spreadsheets/d/1KS0zmDSZPk8KnTAbGN-Xk6MtX1YRZD0ldgdt20K4CRk/edit?usp=sharing"","&amp;"""เชียงราย!L271"")+IMPORTRANGE(""https://docs.google.com/spreadsheets/d/1rEDxBtusbi64tE0zunoIbsTVV16HeL0oJ6trHQeQ7K8/edit?usp=sharing"",""เชียงใหม่!L271"")+IMPORTRANGE(""https://docs.google.com/spreadsheets/d/1W6MnUbDkMi6xHnHko_XkFDO9kkuL6Wqyc-6OCDFjW9I/e"&amp;"dit?usp=sharing"",""ตาก!L271"")+IMPORTRANGE(""https://docs.google.com/spreadsheets/d/1IQAWArduLkta9LpYo4a_ULsyqdta6-6aDDiwpUnQT6c/edit?usp=sharing"",""นครสวรรค์!L271"")+IMPORTRANGE(""https://docs.google.com/spreadsheets/d/10s13Sk5xrltsiR-Zkbmk5DwIaDIKO8Xl"&amp;"bJAfqyT7Gvg/edit?usp=sharing"",""น่าน!L271"")+IMPORTRANGE(""https://docs.google.com/spreadsheets/d/1uu4nAn4Dbi1XREnLKKotUANlKXa7yCgRcgq8HEzQYW8/edit?usp=sharing"",""พะเยา!L271"")+IMPORTRANGE(""https://docs.google.com/spreadsheets/d/1xfJKIQxVOaPDIICqsflNlL"&amp;"u3JacTDk1FP9RH4phX7mI/edit?usp=sharing"",""พิจิตร!L271"")+IMPORTRANGE(""https://docs.google.com/spreadsheets/d/1JtRfZkJMHtEhI5RdRHxYUG4FIZHqKDpNyIuN7A1Q0_k/edit?usp=sharing"",""พิษณุโลก!L271"")+IMPORTRANGE(""https://docs.google.com/spreadsheets/d/1xlcVZWU"&amp;"Nn6SuWm0c307h32SiGkd9BaeQWlAktfD3KO8/edit?usp=sharing"",""เพชรบูรณ์!L271"")+IMPORTRANGE(""https://docs.google.com/spreadsheets/d/1lOVebEIsI9qjGXl6EX66luk7wiuP2tBaryw-wKvv4e0/edit?usp=sharing"",""แพร่!L271"")+IMPORTRANGE(""https://docs.google.com/spreadshe"&amp;"ets/d/1dQrvX0vEcN7Gu0fnZ0B5S90AeR19zth4XlExFBeExMY/edit?usp=sharing"",""แม่ฮ่องสอน!L271"")+IMPORTRANGE(""https://docs.google.com/spreadsheets/d/1DY4XTNNwjluuxqdfdn6qvOSlMRrZqUtmYcZR0ttFiG4/edit?usp=sharing"",""ลำปาง!L271"")+IMPORTRANGE(""https://docs.goog"&amp;"le.com/spreadsheets/d/1ICwG78r0OFT8biBlxnBF8r7she7gNSzOvJ958PWT09c/edit?usp=sharing"",""ลำพูน!L271"")+IMPORTRANGE(""https://docs.google.com/spreadsheets/d/1B0f2xJpZUC6Z0xXnqKlZtEPzsf6L84eP1r1Q15seqRM/edit?usp=sharing"",""สุโขทัย!L271"")+IMPORTRANGE(""http"&amp;"s://docs.google.com/spreadsheets/d/1v0b9pFQCsKUVExMei7AgY2yQkdeNQvtOssygGsXbiKo/edit?usp=sharing"",""อุตรดิตถ์!L271"")+IMPORTRANGE(""https://docs.google.com/spreadsheets/d/1UsNK1e-WWiCo2PvGqdNfdme4m17_Ezd3J69EeeiQPD0/edit?usp=sharing"",""อุทัยธานี!L271"")"),0)</f>
        <v>0</v>
      </c>
      <c r="M271" s="59">
        <f ca="1">IFERROR(__xludf.DUMMYFUNCTION("IMPORTRANGE(""https://docs.google.com/spreadsheets/d/1jTcq05yEiRwXcBMLjiodW9e4biSGYWAHcDj22rKWQ3s/edit?usp=sharing"",""กำแพงเพชร!M271"")+IMPORTRANGE(""https://docs.google.com/spreadsheets/d/1KS0zmDSZPk8KnTAbGN-Xk6MtX1YRZD0ldgdt20K4CRk/edit?usp=sharing"","&amp;"""เชียงราย!M271"")+IMPORTRANGE(""https://docs.google.com/spreadsheets/d/1rEDxBtusbi64tE0zunoIbsTVV16HeL0oJ6trHQeQ7K8/edit?usp=sharing"",""เชียงใหม่!M271"")+IMPORTRANGE(""https://docs.google.com/spreadsheets/d/1W6MnUbDkMi6xHnHko_XkFDO9kkuL6Wqyc-6OCDFjW9I/e"&amp;"dit?usp=sharing"",""ตาก!M271"")+IMPORTRANGE(""https://docs.google.com/spreadsheets/d/1IQAWArduLkta9LpYo4a_ULsyqdta6-6aDDiwpUnQT6c/edit?usp=sharing"",""นครสวรรค์!M271"")+IMPORTRANGE(""https://docs.google.com/spreadsheets/d/10s13Sk5xrltsiR-Zkbmk5DwIaDIKO8Xl"&amp;"bJAfqyT7Gvg/edit?usp=sharing"",""น่าน!M271"")+IMPORTRANGE(""https://docs.google.com/spreadsheets/d/1uu4nAn4Dbi1XREnLKKotUANlKXa7yCgRcgq8HEzQYW8/edit?usp=sharing"",""พะเยา!M271"")+IMPORTRANGE(""https://docs.google.com/spreadsheets/d/1xfJKIQxVOaPDIICqsflNlL"&amp;"u3JacTDk1FP9RH4phX7mI/edit?usp=sharing"",""พิจิตร!M271"")+IMPORTRANGE(""https://docs.google.com/spreadsheets/d/1JtRfZkJMHtEhI5RdRHxYUG4FIZHqKDpNyIuN7A1Q0_k/edit?usp=sharing"",""พิษณุโลก!M271"")+IMPORTRANGE(""https://docs.google.com/spreadsheets/d/1xlcVZWU"&amp;"Nn6SuWm0c307h32SiGkd9BaeQWlAktfD3KO8/edit?usp=sharing"",""เพชรบูรณ์!M271"")+IMPORTRANGE(""https://docs.google.com/spreadsheets/d/1lOVebEIsI9qjGXl6EX66luk7wiuP2tBaryw-wKvv4e0/edit?usp=sharing"",""แพร่!M271"")+IMPORTRANGE(""https://docs.google.com/spreadshe"&amp;"ets/d/1dQrvX0vEcN7Gu0fnZ0B5S90AeR19zth4XlExFBeExMY/edit?usp=sharing"",""แม่ฮ่องสอน!M271"")+IMPORTRANGE(""https://docs.google.com/spreadsheets/d/1DY4XTNNwjluuxqdfdn6qvOSlMRrZqUtmYcZR0ttFiG4/edit?usp=sharing"",""ลำปาง!M271"")+IMPORTRANGE(""https://docs.goog"&amp;"le.com/spreadsheets/d/1ICwG78r0OFT8biBlxnBF8r7she7gNSzOvJ958PWT09c/edit?usp=sharing"",""ลำพูน!M271"")+IMPORTRANGE(""https://docs.google.com/spreadsheets/d/1B0f2xJpZUC6Z0xXnqKlZtEPzsf6L84eP1r1Q15seqRM/edit?usp=sharing"",""สุโขทัย!M271"")+IMPORTRANGE(""http"&amp;"s://docs.google.com/spreadsheets/d/1v0b9pFQCsKUVExMei7AgY2yQkdeNQvtOssygGsXbiKo/edit?usp=sharing"",""อุตรดิตถ์!M271"")+IMPORTRANGE(""https://docs.google.com/spreadsheets/d/1UsNK1e-WWiCo2PvGqdNfdme4m17_Ezd3J69EeeiQPD0/edit?usp=sharing"",""อุทัยธานี!M271"")"),0)</f>
        <v>0</v>
      </c>
      <c r="N271" s="59">
        <f ca="1">IFERROR(__xludf.DUMMYFUNCTION("IMPORTRANGE(""https://docs.google.com/spreadsheets/d/1jTcq05yEiRwXcBMLjiodW9e4biSGYWAHcDj22rKWQ3s/edit?usp=sharing"",""กำแพงเพชร!N271"")+IMPORTRANGE(""https://docs.google.com/spreadsheets/d/1KS0zmDSZPk8KnTAbGN-Xk6MtX1YRZD0ldgdt20K4CRk/edit?usp=sharing"","&amp;"""เชียงราย!N271"")+IMPORTRANGE(""https://docs.google.com/spreadsheets/d/1rEDxBtusbi64tE0zunoIbsTVV16HeL0oJ6trHQeQ7K8/edit?usp=sharing"",""เชียงใหม่!N271"")+IMPORTRANGE(""https://docs.google.com/spreadsheets/d/1W6MnUbDkMi6xHnHko_XkFDO9kkuL6Wqyc-6OCDFjW9I/e"&amp;"dit?usp=sharing"",""ตาก!N271"")+IMPORTRANGE(""https://docs.google.com/spreadsheets/d/1IQAWArduLkta9LpYo4a_ULsyqdta6-6aDDiwpUnQT6c/edit?usp=sharing"",""นครสวรรค์!N271"")+IMPORTRANGE(""https://docs.google.com/spreadsheets/d/10s13Sk5xrltsiR-Zkbmk5DwIaDIKO8Xl"&amp;"bJAfqyT7Gvg/edit?usp=sharing"",""น่าน!N271"")+IMPORTRANGE(""https://docs.google.com/spreadsheets/d/1uu4nAn4Dbi1XREnLKKotUANlKXa7yCgRcgq8HEzQYW8/edit?usp=sharing"",""พะเยา!N271"")+IMPORTRANGE(""https://docs.google.com/spreadsheets/d/1xfJKIQxVOaPDIICqsflNlL"&amp;"u3JacTDk1FP9RH4phX7mI/edit?usp=sharing"",""พิจิตร!N271"")+IMPORTRANGE(""https://docs.google.com/spreadsheets/d/1JtRfZkJMHtEhI5RdRHxYUG4FIZHqKDpNyIuN7A1Q0_k/edit?usp=sharing"",""พิษณุโลก!N271"")+IMPORTRANGE(""https://docs.google.com/spreadsheets/d/1xlcVZWU"&amp;"Nn6SuWm0c307h32SiGkd9BaeQWlAktfD3KO8/edit?usp=sharing"",""เพชรบูรณ์!N271"")+IMPORTRANGE(""https://docs.google.com/spreadsheets/d/1lOVebEIsI9qjGXl6EX66luk7wiuP2tBaryw-wKvv4e0/edit?usp=sharing"",""แพร่!N271"")+IMPORTRANGE(""https://docs.google.com/spreadshe"&amp;"ets/d/1dQrvX0vEcN7Gu0fnZ0B5S90AeR19zth4XlExFBeExMY/edit?usp=sharing"",""แม่ฮ่องสอน!N271"")+IMPORTRANGE(""https://docs.google.com/spreadsheets/d/1DY4XTNNwjluuxqdfdn6qvOSlMRrZqUtmYcZR0ttFiG4/edit?usp=sharing"",""ลำปาง!N271"")+IMPORTRANGE(""https://docs.goog"&amp;"le.com/spreadsheets/d/1ICwG78r0OFT8biBlxnBF8r7she7gNSzOvJ958PWT09c/edit?usp=sharing"",""ลำพูน!N271"")+IMPORTRANGE(""https://docs.google.com/spreadsheets/d/1B0f2xJpZUC6Z0xXnqKlZtEPzsf6L84eP1r1Q15seqRM/edit?usp=sharing"",""สุโขทัย!N271"")+IMPORTRANGE(""http"&amp;"s://docs.google.com/spreadsheets/d/1v0b9pFQCsKUVExMei7AgY2yQkdeNQvtOssygGsXbiKo/edit?usp=sharing"",""อุตรดิตถ์!N271"")+IMPORTRANGE(""https://docs.google.com/spreadsheets/d/1UsNK1e-WWiCo2PvGqdNfdme4m17_Ezd3J69EeeiQPD0/edit?usp=sharing"",""อุทัยธานี!N271"")"),0)</f>
        <v>0</v>
      </c>
      <c r="O271" s="59">
        <f t="shared" ca="1" si="111"/>
        <v>0</v>
      </c>
      <c r="P271" s="59">
        <f t="shared" ca="1" si="112"/>
        <v>0</v>
      </c>
    </row>
    <row r="272" spans="1:16" ht="18.75" x14ac:dyDescent="0.25">
      <c r="A272" s="157"/>
      <c r="B272" s="53"/>
      <c r="C272" s="53"/>
      <c r="D272" s="54" t="s">
        <v>21</v>
      </c>
      <c r="E272" s="53"/>
      <c r="F272" s="53"/>
      <c r="G272" s="55"/>
      <c r="H272" s="166" t="s">
        <v>12</v>
      </c>
      <c r="I272" s="164"/>
      <c r="J272" s="164"/>
      <c r="K272" s="165"/>
      <c r="L272" s="59">
        <f t="shared" ref="L272:N272" ca="1" si="116">L273+L274</f>
        <v>0</v>
      </c>
      <c r="M272" s="59">
        <f t="shared" ca="1" si="116"/>
        <v>0</v>
      </c>
      <c r="N272" s="59">
        <f t="shared" ca="1" si="116"/>
        <v>0</v>
      </c>
      <c r="O272" s="59">
        <f t="shared" ca="1" si="111"/>
        <v>0</v>
      </c>
      <c r="P272" s="59">
        <f t="shared" ca="1" si="112"/>
        <v>0</v>
      </c>
    </row>
    <row r="273" spans="1:16" ht="18.75" x14ac:dyDescent="0.25">
      <c r="A273" s="157"/>
      <c r="B273" s="53"/>
      <c r="C273" s="53"/>
      <c r="D273" s="53"/>
      <c r="E273" s="60" t="s">
        <v>18</v>
      </c>
      <c r="F273" s="53"/>
      <c r="G273" s="55"/>
      <c r="H273" s="163" t="s">
        <v>12</v>
      </c>
      <c r="I273" s="164"/>
      <c r="J273" s="164"/>
      <c r="K273" s="165"/>
      <c r="L273" s="59">
        <f ca="1">IFERROR(__xludf.DUMMYFUNCTION("IMPORTRANGE(""https://docs.google.com/spreadsheets/d/1jTcq05yEiRwXcBMLjiodW9e4biSGYWAHcDj22rKWQ3s/edit?usp=sharing"",""กำแพงเพชร!L273"")+IMPORTRANGE(""https://docs.google.com/spreadsheets/d/1KS0zmDSZPk8KnTAbGN-Xk6MtX1YRZD0ldgdt20K4CRk/edit?usp=sharing"","&amp;"""เชียงราย!L273"")+IMPORTRANGE(""https://docs.google.com/spreadsheets/d/1rEDxBtusbi64tE0zunoIbsTVV16HeL0oJ6trHQeQ7K8/edit?usp=sharing"",""เชียงใหม่!L273"")+IMPORTRANGE(""https://docs.google.com/spreadsheets/d/1W6MnUbDkMi6xHnHko_XkFDO9kkuL6Wqyc-6OCDFjW9I/e"&amp;"dit?usp=sharing"",""ตาก!L273"")+IMPORTRANGE(""https://docs.google.com/spreadsheets/d/1IQAWArduLkta9LpYo4a_ULsyqdta6-6aDDiwpUnQT6c/edit?usp=sharing"",""นครสวรรค์!L273"")+IMPORTRANGE(""https://docs.google.com/spreadsheets/d/10s13Sk5xrltsiR-Zkbmk5DwIaDIKO8Xl"&amp;"bJAfqyT7Gvg/edit?usp=sharing"",""น่าน!L273"")+IMPORTRANGE(""https://docs.google.com/spreadsheets/d/1uu4nAn4Dbi1XREnLKKotUANlKXa7yCgRcgq8HEzQYW8/edit?usp=sharing"",""พะเยา!L273"")+IMPORTRANGE(""https://docs.google.com/spreadsheets/d/1xfJKIQxVOaPDIICqsflNlL"&amp;"u3JacTDk1FP9RH4phX7mI/edit?usp=sharing"",""พิจิตร!L273"")+IMPORTRANGE(""https://docs.google.com/spreadsheets/d/1JtRfZkJMHtEhI5RdRHxYUG4FIZHqKDpNyIuN7A1Q0_k/edit?usp=sharing"",""พิษณุโลก!L273"")+IMPORTRANGE(""https://docs.google.com/spreadsheets/d/1xlcVZWU"&amp;"Nn6SuWm0c307h32SiGkd9BaeQWlAktfD3KO8/edit?usp=sharing"",""เพชรบูรณ์!L273"")+IMPORTRANGE(""https://docs.google.com/spreadsheets/d/1lOVebEIsI9qjGXl6EX66luk7wiuP2tBaryw-wKvv4e0/edit?usp=sharing"",""แพร่!L273"")+IMPORTRANGE(""https://docs.google.com/spreadshe"&amp;"ets/d/1dQrvX0vEcN7Gu0fnZ0B5S90AeR19zth4XlExFBeExMY/edit?usp=sharing"",""แม่ฮ่องสอน!L273"")+IMPORTRANGE(""https://docs.google.com/spreadsheets/d/1DY4XTNNwjluuxqdfdn6qvOSlMRrZqUtmYcZR0ttFiG4/edit?usp=sharing"",""ลำปาง!L273"")+IMPORTRANGE(""https://docs.goog"&amp;"le.com/spreadsheets/d/1ICwG78r0OFT8biBlxnBF8r7she7gNSzOvJ958PWT09c/edit?usp=sharing"",""ลำพูน!L273"")+IMPORTRANGE(""https://docs.google.com/spreadsheets/d/1B0f2xJpZUC6Z0xXnqKlZtEPzsf6L84eP1r1Q15seqRM/edit?usp=sharing"",""สุโขทัย!L273"")+IMPORTRANGE(""http"&amp;"s://docs.google.com/spreadsheets/d/1v0b9pFQCsKUVExMei7AgY2yQkdeNQvtOssygGsXbiKo/edit?usp=sharing"",""อุตรดิตถ์!L273"")+IMPORTRANGE(""https://docs.google.com/spreadsheets/d/1UsNK1e-WWiCo2PvGqdNfdme4m17_Ezd3J69EeeiQPD0/edit?usp=sharing"",""อุทัยธานี!L273"")"),0)</f>
        <v>0</v>
      </c>
      <c r="M273" s="59">
        <f ca="1">IFERROR(__xludf.DUMMYFUNCTION("IMPORTRANGE(""https://docs.google.com/spreadsheets/d/1jTcq05yEiRwXcBMLjiodW9e4biSGYWAHcDj22rKWQ3s/edit?usp=sharing"",""กำแพงเพชร!M273"")+IMPORTRANGE(""https://docs.google.com/spreadsheets/d/1KS0zmDSZPk8KnTAbGN-Xk6MtX1YRZD0ldgdt20K4CRk/edit?usp=sharing"","&amp;"""เชียงราย!M273"")+IMPORTRANGE(""https://docs.google.com/spreadsheets/d/1rEDxBtusbi64tE0zunoIbsTVV16HeL0oJ6trHQeQ7K8/edit?usp=sharing"",""เชียงใหม่!M273"")+IMPORTRANGE(""https://docs.google.com/spreadsheets/d/1W6MnUbDkMi6xHnHko_XkFDO9kkuL6Wqyc-6OCDFjW9I/e"&amp;"dit?usp=sharing"",""ตาก!M273"")+IMPORTRANGE(""https://docs.google.com/spreadsheets/d/1IQAWArduLkta9LpYo4a_ULsyqdta6-6aDDiwpUnQT6c/edit?usp=sharing"",""นครสวรรค์!M273"")+IMPORTRANGE(""https://docs.google.com/spreadsheets/d/10s13Sk5xrltsiR-Zkbmk5DwIaDIKO8Xl"&amp;"bJAfqyT7Gvg/edit?usp=sharing"",""น่าน!M273"")+IMPORTRANGE(""https://docs.google.com/spreadsheets/d/1uu4nAn4Dbi1XREnLKKotUANlKXa7yCgRcgq8HEzQYW8/edit?usp=sharing"",""พะเยา!M273"")+IMPORTRANGE(""https://docs.google.com/spreadsheets/d/1xfJKIQxVOaPDIICqsflNlL"&amp;"u3JacTDk1FP9RH4phX7mI/edit?usp=sharing"",""พิจิตร!M273"")+IMPORTRANGE(""https://docs.google.com/spreadsheets/d/1JtRfZkJMHtEhI5RdRHxYUG4FIZHqKDpNyIuN7A1Q0_k/edit?usp=sharing"",""พิษณุโลก!M273"")+IMPORTRANGE(""https://docs.google.com/spreadsheets/d/1xlcVZWU"&amp;"Nn6SuWm0c307h32SiGkd9BaeQWlAktfD3KO8/edit?usp=sharing"",""เพชรบูรณ์!M273"")+IMPORTRANGE(""https://docs.google.com/spreadsheets/d/1lOVebEIsI9qjGXl6EX66luk7wiuP2tBaryw-wKvv4e0/edit?usp=sharing"",""แพร่!M273"")+IMPORTRANGE(""https://docs.google.com/spreadshe"&amp;"ets/d/1dQrvX0vEcN7Gu0fnZ0B5S90AeR19zth4XlExFBeExMY/edit?usp=sharing"",""แม่ฮ่องสอน!M273"")+IMPORTRANGE(""https://docs.google.com/spreadsheets/d/1DY4XTNNwjluuxqdfdn6qvOSlMRrZqUtmYcZR0ttFiG4/edit?usp=sharing"",""ลำปาง!M273"")+IMPORTRANGE(""https://docs.goog"&amp;"le.com/spreadsheets/d/1ICwG78r0OFT8biBlxnBF8r7she7gNSzOvJ958PWT09c/edit?usp=sharing"",""ลำพูน!M273"")+IMPORTRANGE(""https://docs.google.com/spreadsheets/d/1B0f2xJpZUC6Z0xXnqKlZtEPzsf6L84eP1r1Q15seqRM/edit?usp=sharing"",""สุโขทัย!M273"")+IMPORTRANGE(""http"&amp;"s://docs.google.com/spreadsheets/d/1v0b9pFQCsKUVExMei7AgY2yQkdeNQvtOssygGsXbiKo/edit?usp=sharing"",""อุตรดิตถ์!M273"")+IMPORTRANGE(""https://docs.google.com/spreadsheets/d/1UsNK1e-WWiCo2PvGqdNfdme4m17_Ezd3J69EeeiQPD0/edit?usp=sharing"",""อุทัยธานี!M273"")"),0)</f>
        <v>0</v>
      </c>
      <c r="N273" s="59">
        <f ca="1">IFERROR(__xludf.DUMMYFUNCTION("IMPORTRANGE(""https://docs.google.com/spreadsheets/d/1jTcq05yEiRwXcBMLjiodW9e4biSGYWAHcDj22rKWQ3s/edit?usp=sharing"",""กำแพงเพชร!N273"")+IMPORTRANGE(""https://docs.google.com/spreadsheets/d/1KS0zmDSZPk8KnTAbGN-Xk6MtX1YRZD0ldgdt20K4CRk/edit?usp=sharing"","&amp;"""เชียงราย!N273"")+IMPORTRANGE(""https://docs.google.com/spreadsheets/d/1rEDxBtusbi64tE0zunoIbsTVV16HeL0oJ6trHQeQ7K8/edit?usp=sharing"",""เชียงใหม่!N273"")+IMPORTRANGE(""https://docs.google.com/spreadsheets/d/1W6MnUbDkMi6xHnHko_XkFDO9kkuL6Wqyc-6OCDFjW9I/e"&amp;"dit?usp=sharing"",""ตาก!N273"")+IMPORTRANGE(""https://docs.google.com/spreadsheets/d/1IQAWArduLkta9LpYo4a_ULsyqdta6-6aDDiwpUnQT6c/edit?usp=sharing"",""นครสวรรค์!N273"")+IMPORTRANGE(""https://docs.google.com/spreadsheets/d/10s13Sk5xrltsiR-Zkbmk5DwIaDIKO8Xl"&amp;"bJAfqyT7Gvg/edit?usp=sharing"",""น่าน!N273"")+IMPORTRANGE(""https://docs.google.com/spreadsheets/d/1uu4nAn4Dbi1XREnLKKotUANlKXa7yCgRcgq8HEzQYW8/edit?usp=sharing"",""พะเยา!N273"")+IMPORTRANGE(""https://docs.google.com/spreadsheets/d/1xfJKIQxVOaPDIICqsflNlL"&amp;"u3JacTDk1FP9RH4phX7mI/edit?usp=sharing"",""พิจิตร!N273"")+IMPORTRANGE(""https://docs.google.com/spreadsheets/d/1JtRfZkJMHtEhI5RdRHxYUG4FIZHqKDpNyIuN7A1Q0_k/edit?usp=sharing"",""พิษณุโลก!N273"")+IMPORTRANGE(""https://docs.google.com/spreadsheets/d/1xlcVZWU"&amp;"Nn6SuWm0c307h32SiGkd9BaeQWlAktfD3KO8/edit?usp=sharing"",""เพชรบูรณ์!N273"")+IMPORTRANGE(""https://docs.google.com/spreadsheets/d/1lOVebEIsI9qjGXl6EX66luk7wiuP2tBaryw-wKvv4e0/edit?usp=sharing"",""แพร่!N273"")+IMPORTRANGE(""https://docs.google.com/spreadshe"&amp;"ets/d/1dQrvX0vEcN7Gu0fnZ0B5S90AeR19zth4XlExFBeExMY/edit?usp=sharing"",""แม่ฮ่องสอน!N273"")+IMPORTRANGE(""https://docs.google.com/spreadsheets/d/1DY4XTNNwjluuxqdfdn6qvOSlMRrZqUtmYcZR0ttFiG4/edit?usp=sharing"",""ลำปาง!N273"")+IMPORTRANGE(""https://docs.goog"&amp;"le.com/spreadsheets/d/1ICwG78r0OFT8biBlxnBF8r7she7gNSzOvJ958PWT09c/edit?usp=sharing"",""ลำพูน!N273"")+IMPORTRANGE(""https://docs.google.com/spreadsheets/d/1B0f2xJpZUC6Z0xXnqKlZtEPzsf6L84eP1r1Q15seqRM/edit?usp=sharing"",""สุโขทัย!N273"")+IMPORTRANGE(""http"&amp;"s://docs.google.com/spreadsheets/d/1v0b9pFQCsKUVExMei7AgY2yQkdeNQvtOssygGsXbiKo/edit?usp=sharing"",""อุตรดิตถ์!N273"")+IMPORTRANGE(""https://docs.google.com/spreadsheets/d/1UsNK1e-WWiCo2PvGqdNfdme4m17_Ezd3J69EeeiQPD0/edit?usp=sharing"",""อุทัยธานี!N273"")"),0)</f>
        <v>0</v>
      </c>
      <c r="O273" s="59">
        <f t="shared" ca="1" si="111"/>
        <v>0</v>
      </c>
      <c r="P273" s="59">
        <f t="shared" ca="1" si="112"/>
        <v>0</v>
      </c>
    </row>
    <row r="274" spans="1:16" ht="18.75" x14ac:dyDescent="0.25">
      <c r="A274" s="157"/>
      <c r="B274" s="53"/>
      <c r="C274" s="53"/>
      <c r="D274" s="53"/>
      <c r="E274" s="60" t="s">
        <v>19</v>
      </c>
      <c r="F274" s="53"/>
      <c r="G274" s="55"/>
      <c r="H274" s="166" t="s">
        <v>12</v>
      </c>
      <c r="I274" s="164"/>
      <c r="J274" s="164"/>
      <c r="K274" s="165"/>
      <c r="L274" s="59">
        <f ca="1">IFERROR(__xludf.DUMMYFUNCTION("IMPORTRANGE(""https://docs.google.com/spreadsheets/d/1jTcq05yEiRwXcBMLjiodW9e4biSGYWAHcDj22rKWQ3s/edit?usp=sharing"",""กำแพงเพชร!L274"")+IMPORTRANGE(""https://docs.google.com/spreadsheets/d/1KS0zmDSZPk8KnTAbGN-Xk6MtX1YRZD0ldgdt20K4CRk/edit?usp=sharing"","&amp;"""เชียงราย!L274"")+IMPORTRANGE(""https://docs.google.com/spreadsheets/d/1rEDxBtusbi64tE0zunoIbsTVV16HeL0oJ6trHQeQ7K8/edit?usp=sharing"",""เชียงใหม่!L274"")+IMPORTRANGE(""https://docs.google.com/spreadsheets/d/1W6MnUbDkMi6xHnHko_XkFDO9kkuL6Wqyc-6OCDFjW9I/e"&amp;"dit?usp=sharing"",""ตาก!L274"")+IMPORTRANGE(""https://docs.google.com/spreadsheets/d/1IQAWArduLkta9LpYo4a_ULsyqdta6-6aDDiwpUnQT6c/edit?usp=sharing"",""นครสวรรค์!L274"")+IMPORTRANGE(""https://docs.google.com/spreadsheets/d/10s13Sk5xrltsiR-Zkbmk5DwIaDIKO8Xl"&amp;"bJAfqyT7Gvg/edit?usp=sharing"",""น่าน!L274"")+IMPORTRANGE(""https://docs.google.com/spreadsheets/d/1uu4nAn4Dbi1XREnLKKotUANlKXa7yCgRcgq8HEzQYW8/edit?usp=sharing"",""พะเยา!L274"")+IMPORTRANGE(""https://docs.google.com/spreadsheets/d/1xfJKIQxVOaPDIICqsflNlL"&amp;"u3JacTDk1FP9RH4phX7mI/edit?usp=sharing"",""พิจิตร!L274"")+IMPORTRANGE(""https://docs.google.com/spreadsheets/d/1JtRfZkJMHtEhI5RdRHxYUG4FIZHqKDpNyIuN7A1Q0_k/edit?usp=sharing"",""พิษณุโลก!L274"")+IMPORTRANGE(""https://docs.google.com/spreadsheets/d/1xlcVZWU"&amp;"Nn6SuWm0c307h32SiGkd9BaeQWlAktfD3KO8/edit?usp=sharing"",""เพชรบูรณ์!L274"")+IMPORTRANGE(""https://docs.google.com/spreadsheets/d/1lOVebEIsI9qjGXl6EX66luk7wiuP2tBaryw-wKvv4e0/edit?usp=sharing"",""แพร่!L274"")+IMPORTRANGE(""https://docs.google.com/spreadshe"&amp;"ets/d/1dQrvX0vEcN7Gu0fnZ0B5S90AeR19zth4XlExFBeExMY/edit?usp=sharing"",""แม่ฮ่องสอน!L274"")+IMPORTRANGE(""https://docs.google.com/spreadsheets/d/1DY4XTNNwjluuxqdfdn6qvOSlMRrZqUtmYcZR0ttFiG4/edit?usp=sharing"",""ลำปาง!L274"")+IMPORTRANGE(""https://docs.goog"&amp;"le.com/spreadsheets/d/1ICwG78r0OFT8biBlxnBF8r7she7gNSzOvJ958PWT09c/edit?usp=sharing"",""ลำพูน!L274"")+IMPORTRANGE(""https://docs.google.com/spreadsheets/d/1B0f2xJpZUC6Z0xXnqKlZtEPzsf6L84eP1r1Q15seqRM/edit?usp=sharing"",""สุโขทัย!L274"")+IMPORTRANGE(""http"&amp;"s://docs.google.com/spreadsheets/d/1v0b9pFQCsKUVExMei7AgY2yQkdeNQvtOssygGsXbiKo/edit?usp=sharing"",""อุตรดิตถ์!L274"")+IMPORTRANGE(""https://docs.google.com/spreadsheets/d/1UsNK1e-WWiCo2PvGqdNfdme4m17_Ezd3J69EeeiQPD0/edit?usp=sharing"",""อุทัยธานี!L274"")"),0)</f>
        <v>0</v>
      </c>
      <c r="M274" s="59">
        <f ca="1">IFERROR(__xludf.DUMMYFUNCTION("IMPORTRANGE(""https://docs.google.com/spreadsheets/d/1jTcq05yEiRwXcBMLjiodW9e4biSGYWAHcDj22rKWQ3s/edit?usp=sharing"",""กำแพงเพชร!M274"")+IMPORTRANGE(""https://docs.google.com/spreadsheets/d/1KS0zmDSZPk8KnTAbGN-Xk6MtX1YRZD0ldgdt20K4CRk/edit?usp=sharing"","&amp;"""เชียงราย!M274"")+IMPORTRANGE(""https://docs.google.com/spreadsheets/d/1rEDxBtusbi64tE0zunoIbsTVV16HeL0oJ6trHQeQ7K8/edit?usp=sharing"",""เชียงใหม่!M274"")+IMPORTRANGE(""https://docs.google.com/spreadsheets/d/1W6MnUbDkMi6xHnHko_XkFDO9kkuL6Wqyc-6OCDFjW9I/e"&amp;"dit?usp=sharing"",""ตาก!M274"")+IMPORTRANGE(""https://docs.google.com/spreadsheets/d/1IQAWArduLkta9LpYo4a_ULsyqdta6-6aDDiwpUnQT6c/edit?usp=sharing"",""นครสวรรค์!M274"")+IMPORTRANGE(""https://docs.google.com/spreadsheets/d/10s13Sk5xrltsiR-Zkbmk5DwIaDIKO8Xl"&amp;"bJAfqyT7Gvg/edit?usp=sharing"",""น่าน!M274"")+IMPORTRANGE(""https://docs.google.com/spreadsheets/d/1uu4nAn4Dbi1XREnLKKotUANlKXa7yCgRcgq8HEzQYW8/edit?usp=sharing"",""พะเยา!M274"")+IMPORTRANGE(""https://docs.google.com/spreadsheets/d/1xfJKIQxVOaPDIICqsflNlL"&amp;"u3JacTDk1FP9RH4phX7mI/edit?usp=sharing"",""พิจิตร!M274"")+IMPORTRANGE(""https://docs.google.com/spreadsheets/d/1JtRfZkJMHtEhI5RdRHxYUG4FIZHqKDpNyIuN7A1Q0_k/edit?usp=sharing"",""พิษณุโลก!M274"")+IMPORTRANGE(""https://docs.google.com/spreadsheets/d/1xlcVZWU"&amp;"Nn6SuWm0c307h32SiGkd9BaeQWlAktfD3KO8/edit?usp=sharing"",""เพชรบูรณ์!M274"")+IMPORTRANGE(""https://docs.google.com/spreadsheets/d/1lOVebEIsI9qjGXl6EX66luk7wiuP2tBaryw-wKvv4e0/edit?usp=sharing"",""แพร่!M274"")+IMPORTRANGE(""https://docs.google.com/spreadshe"&amp;"ets/d/1dQrvX0vEcN7Gu0fnZ0B5S90AeR19zth4XlExFBeExMY/edit?usp=sharing"",""แม่ฮ่องสอน!M274"")+IMPORTRANGE(""https://docs.google.com/spreadsheets/d/1DY4XTNNwjluuxqdfdn6qvOSlMRrZqUtmYcZR0ttFiG4/edit?usp=sharing"",""ลำปาง!M274"")+IMPORTRANGE(""https://docs.goog"&amp;"le.com/spreadsheets/d/1ICwG78r0OFT8biBlxnBF8r7she7gNSzOvJ958PWT09c/edit?usp=sharing"",""ลำพูน!M274"")+IMPORTRANGE(""https://docs.google.com/spreadsheets/d/1B0f2xJpZUC6Z0xXnqKlZtEPzsf6L84eP1r1Q15seqRM/edit?usp=sharing"",""สุโขทัย!M274"")+IMPORTRANGE(""http"&amp;"s://docs.google.com/spreadsheets/d/1v0b9pFQCsKUVExMei7AgY2yQkdeNQvtOssygGsXbiKo/edit?usp=sharing"",""อุตรดิตถ์!M274"")+IMPORTRANGE(""https://docs.google.com/spreadsheets/d/1UsNK1e-WWiCo2PvGqdNfdme4m17_Ezd3J69EeeiQPD0/edit?usp=sharing"",""อุทัยธานี!M274"")"),0)</f>
        <v>0</v>
      </c>
      <c r="N274" s="59">
        <f ca="1">IFERROR(__xludf.DUMMYFUNCTION("IMPORTRANGE(""https://docs.google.com/spreadsheets/d/1jTcq05yEiRwXcBMLjiodW9e4biSGYWAHcDj22rKWQ3s/edit?usp=sharing"",""กำแพงเพชร!N274"")+IMPORTRANGE(""https://docs.google.com/spreadsheets/d/1KS0zmDSZPk8KnTAbGN-Xk6MtX1YRZD0ldgdt20K4CRk/edit?usp=sharing"","&amp;"""เชียงราย!N274"")+IMPORTRANGE(""https://docs.google.com/spreadsheets/d/1rEDxBtusbi64tE0zunoIbsTVV16HeL0oJ6trHQeQ7K8/edit?usp=sharing"",""เชียงใหม่!N274"")+IMPORTRANGE(""https://docs.google.com/spreadsheets/d/1W6MnUbDkMi6xHnHko_XkFDO9kkuL6Wqyc-6OCDFjW9I/e"&amp;"dit?usp=sharing"",""ตาก!N274"")+IMPORTRANGE(""https://docs.google.com/spreadsheets/d/1IQAWArduLkta9LpYo4a_ULsyqdta6-6aDDiwpUnQT6c/edit?usp=sharing"",""นครสวรรค์!N274"")+IMPORTRANGE(""https://docs.google.com/spreadsheets/d/10s13Sk5xrltsiR-Zkbmk5DwIaDIKO8Xl"&amp;"bJAfqyT7Gvg/edit?usp=sharing"",""น่าน!N274"")+IMPORTRANGE(""https://docs.google.com/spreadsheets/d/1uu4nAn4Dbi1XREnLKKotUANlKXa7yCgRcgq8HEzQYW8/edit?usp=sharing"",""พะเยา!N274"")+IMPORTRANGE(""https://docs.google.com/spreadsheets/d/1xfJKIQxVOaPDIICqsflNlL"&amp;"u3JacTDk1FP9RH4phX7mI/edit?usp=sharing"",""พิจิตร!N274"")+IMPORTRANGE(""https://docs.google.com/spreadsheets/d/1JtRfZkJMHtEhI5RdRHxYUG4FIZHqKDpNyIuN7A1Q0_k/edit?usp=sharing"",""พิษณุโลก!N274"")+IMPORTRANGE(""https://docs.google.com/spreadsheets/d/1xlcVZWU"&amp;"Nn6SuWm0c307h32SiGkd9BaeQWlAktfD3KO8/edit?usp=sharing"",""เพชรบูรณ์!N274"")+IMPORTRANGE(""https://docs.google.com/spreadsheets/d/1lOVebEIsI9qjGXl6EX66luk7wiuP2tBaryw-wKvv4e0/edit?usp=sharing"",""แพร่!N274"")+IMPORTRANGE(""https://docs.google.com/spreadshe"&amp;"ets/d/1dQrvX0vEcN7Gu0fnZ0B5S90AeR19zth4XlExFBeExMY/edit?usp=sharing"",""แม่ฮ่องสอน!N274"")+IMPORTRANGE(""https://docs.google.com/spreadsheets/d/1DY4XTNNwjluuxqdfdn6qvOSlMRrZqUtmYcZR0ttFiG4/edit?usp=sharing"",""ลำปาง!N274"")+IMPORTRANGE(""https://docs.goog"&amp;"le.com/spreadsheets/d/1ICwG78r0OFT8biBlxnBF8r7she7gNSzOvJ958PWT09c/edit?usp=sharing"",""ลำพูน!N274"")+IMPORTRANGE(""https://docs.google.com/spreadsheets/d/1B0f2xJpZUC6Z0xXnqKlZtEPzsf6L84eP1r1Q15seqRM/edit?usp=sharing"",""สุโขทัย!N274"")+IMPORTRANGE(""http"&amp;"s://docs.google.com/spreadsheets/d/1v0b9pFQCsKUVExMei7AgY2yQkdeNQvtOssygGsXbiKo/edit?usp=sharing"",""อุตรดิตถ์!N274"")+IMPORTRANGE(""https://docs.google.com/spreadsheets/d/1UsNK1e-WWiCo2PvGqdNfdme4m17_Ezd3J69EeeiQPD0/edit?usp=sharing"",""อุทัยธานี!N274"")"),0)</f>
        <v>0</v>
      </c>
      <c r="O274" s="59">
        <f t="shared" ca="1" si="111"/>
        <v>0</v>
      </c>
      <c r="P274" s="59">
        <f t="shared" ca="1" si="112"/>
        <v>0</v>
      </c>
    </row>
    <row r="275" spans="1:16" ht="19.5" x14ac:dyDescent="0.3">
      <c r="A275" s="167"/>
      <c r="B275" s="168"/>
      <c r="C275" s="334" t="s">
        <v>16</v>
      </c>
      <c r="D275" s="169" t="s">
        <v>36</v>
      </c>
      <c r="E275" s="170"/>
      <c r="F275" s="170"/>
      <c r="G275" s="171"/>
      <c r="H275" s="172"/>
      <c r="I275" s="164"/>
      <c r="J275" s="164"/>
      <c r="K275" s="165"/>
      <c r="L275" s="165"/>
      <c r="M275" s="165"/>
      <c r="N275" s="165"/>
      <c r="O275" s="165"/>
      <c r="P275" s="165"/>
    </row>
    <row r="276" spans="1:16" ht="18.75" hidden="1" x14ac:dyDescent="0.25">
      <c r="A276" s="335"/>
      <c r="B276" s="211"/>
      <c r="C276" s="211"/>
      <c r="D276" s="336"/>
      <c r="E276" s="17"/>
      <c r="F276" s="17"/>
      <c r="G276" s="20"/>
      <c r="H276" s="26"/>
      <c r="I276" s="212"/>
      <c r="J276" s="337"/>
      <c r="K276" s="27"/>
      <c r="L276" s="23"/>
      <c r="M276" s="23"/>
      <c r="N276" s="23"/>
      <c r="O276" s="23"/>
      <c r="P276" s="23"/>
    </row>
    <row r="277" spans="1:16" ht="18.75" x14ac:dyDescent="0.25">
      <c r="A277" s="338"/>
      <c r="B277" s="339"/>
      <c r="C277" s="339"/>
      <c r="D277" s="340" t="s">
        <v>109</v>
      </c>
      <c r="E277" s="341"/>
      <c r="F277" s="341"/>
      <c r="G277" s="342"/>
      <c r="H277" s="136" t="s">
        <v>33</v>
      </c>
      <c r="I277" s="343">
        <v>0</v>
      </c>
      <c r="J277" s="343">
        <v>0</v>
      </c>
      <c r="K277" s="344">
        <v>0</v>
      </c>
      <c r="L277" s="345"/>
      <c r="M277" s="345"/>
      <c r="N277" s="345"/>
      <c r="O277" s="345"/>
      <c r="P277" s="345"/>
    </row>
    <row r="278" spans="1:16" ht="19.5" x14ac:dyDescent="0.3">
      <c r="A278" s="346" t="s">
        <v>110</v>
      </c>
      <c r="B278" s="347"/>
      <c r="C278" s="347"/>
      <c r="D278" s="347"/>
      <c r="E278" s="348"/>
      <c r="F278" s="348"/>
      <c r="G278" s="348"/>
      <c r="H278" s="348"/>
      <c r="I278" s="349"/>
      <c r="J278" s="349"/>
      <c r="K278" s="350"/>
      <c r="L278" s="351"/>
      <c r="M278" s="351"/>
      <c r="N278" s="351"/>
      <c r="O278" s="351"/>
      <c r="P278" s="352"/>
    </row>
    <row r="279" spans="1:16" ht="19.5" x14ac:dyDescent="0.3">
      <c r="A279" s="353" t="s">
        <v>111</v>
      </c>
      <c r="B279" s="354"/>
      <c r="C279" s="355"/>
      <c r="D279" s="354"/>
      <c r="E279" s="354"/>
      <c r="F279" s="354"/>
      <c r="G279" s="354"/>
      <c r="H279" s="354"/>
      <c r="I279" s="356"/>
      <c r="J279" s="357"/>
      <c r="K279" s="358"/>
      <c r="L279" s="358"/>
      <c r="M279" s="358"/>
      <c r="N279" s="358"/>
      <c r="O279" s="358"/>
      <c r="P279" s="358"/>
    </row>
    <row r="280" spans="1:16" ht="19.5" x14ac:dyDescent="0.3">
      <c r="A280" s="359"/>
      <c r="B280" s="360" t="s">
        <v>112</v>
      </c>
      <c r="C280" s="361"/>
      <c r="D280" s="362"/>
      <c r="E280" s="361"/>
      <c r="F280" s="361"/>
      <c r="G280" s="363"/>
      <c r="H280" s="364" t="s">
        <v>33</v>
      </c>
      <c r="I280" s="365">
        <f t="shared" ref="I280:J280" ca="1" si="117">I293</f>
        <v>410</v>
      </c>
      <c r="J280" s="365">
        <f t="shared" ca="1" si="117"/>
        <v>130</v>
      </c>
      <c r="K280" s="366">
        <f t="shared" ref="K280:K281" ca="1" si="118">IF(I280&gt;0,J280*100/I280,0)</f>
        <v>31.707317073170731</v>
      </c>
      <c r="L280" s="367"/>
      <c r="M280" s="367"/>
      <c r="N280" s="367"/>
      <c r="O280" s="367"/>
      <c r="P280" s="367"/>
    </row>
    <row r="281" spans="1:16" ht="19.5" x14ac:dyDescent="0.3">
      <c r="A281" s="359"/>
      <c r="B281" s="361"/>
      <c r="C281" s="361"/>
      <c r="D281" s="362"/>
      <c r="E281" s="361"/>
      <c r="F281" s="361"/>
      <c r="G281" s="363"/>
      <c r="H281" s="364" t="s">
        <v>44</v>
      </c>
      <c r="I281" s="365">
        <f t="shared" ref="I281:J281" ca="1" si="119">I292</f>
        <v>4100</v>
      </c>
      <c r="J281" s="365">
        <f t="shared" ca="1" si="119"/>
        <v>1300</v>
      </c>
      <c r="K281" s="366">
        <f t="shared" ca="1" si="118"/>
        <v>31.707317073170731</v>
      </c>
      <c r="L281" s="367"/>
      <c r="M281" s="367"/>
      <c r="N281" s="367"/>
      <c r="O281" s="367"/>
      <c r="P281" s="367"/>
    </row>
    <row r="282" spans="1:16" ht="19.5" x14ac:dyDescent="0.3">
      <c r="A282" s="157"/>
      <c r="B282" s="53"/>
      <c r="C282" s="158" t="s">
        <v>16</v>
      </c>
      <c r="D282" s="159" t="s">
        <v>17</v>
      </c>
      <c r="E282" s="53"/>
      <c r="F282" s="53"/>
      <c r="G282" s="55"/>
      <c r="H282" s="160" t="s">
        <v>12</v>
      </c>
      <c r="I282" s="57"/>
      <c r="J282" s="57"/>
      <c r="K282" s="58"/>
      <c r="L282" s="161">
        <f t="shared" ref="L282:N282" ca="1" si="120">L283+L284</f>
        <v>1970540</v>
      </c>
      <c r="M282" s="161">
        <f t="shared" ca="1" si="120"/>
        <v>1588660</v>
      </c>
      <c r="N282" s="161">
        <f t="shared" ca="1" si="120"/>
        <v>433523.34</v>
      </c>
      <c r="O282" s="161">
        <f t="shared" ref="O282:O290" ca="1" si="121">IF(L282&gt;0,N282*100/L282,0)</f>
        <v>22.000230393699191</v>
      </c>
      <c r="P282" s="161">
        <f t="shared" ref="P282:P290" ca="1" si="122">IF(M282&gt;0,N282*100/M282,0)</f>
        <v>27.28861682172397</v>
      </c>
    </row>
    <row r="283" spans="1:16" ht="18.75" x14ac:dyDescent="0.25">
      <c r="A283" s="157"/>
      <c r="B283" s="53"/>
      <c r="C283" s="53"/>
      <c r="D283" s="53"/>
      <c r="E283" s="60" t="s">
        <v>18</v>
      </c>
      <c r="F283" s="53"/>
      <c r="G283" s="55"/>
      <c r="H283" s="162" t="s">
        <v>12</v>
      </c>
      <c r="I283" s="57"/>
      <c r="J283" s="57"/>
      <c r="K283" s="58"/>
      <c r="L283" s="59">
        <f t="shared" ref="L283:N283" ca="1" si="123">L286+L289</f>
        <v>0</v>
      </c>
      <c r="M283" s="59">
        <f t="shared" ca="1" si="123"/>
        <v>0</v>
      </c>
      <c r="N283" s="59">
        <f t="shared" ca="1" si="123"/>
        <v>0</v>
      </c>
      <c r="O283" s="59">
        <f t="shared" ca="1" si="121"/>
        <v>0</v>
      </c>
      <c r="P283" s="59">
        <f t="shared" ca="1" si="122"/>
        <v>0</v>
      </c>
    </row>
    <row r="284" spans="1:16" ht="18.75" x14ac:dyDescent="0.25">
      <c r="A284" s="157"/>
      <c r="B284" s="53"/>
      <c r="C284" s="53"/>
      <c r="D284" s="53"/>
      <c r="E284" s="60" t="s">
        <v>19</v>
      </c>
      <c r="F284" s="53"/>
      <c r="G284" s="55"/>
      <c r="H284" s="162" t="s">
        <v>12</v>
      </c>
      <c r="I284" s="57"/>
      <c r="J284" s="57"/>
      <c r="K284" s="58"/>
      <c r="L284" s="59">
        <f t="shared" ref="L284:N284" ca="1" si="124">L287+L290</f>
        <v>1970540</v>
      </c>
      <c r="M284" s="59">
        <f t="shared" ca="1" si="124"/>
        <v>1588660</v>
      </c>
      <c r="N284" s="59">
        <f t="shared" ca="1" si="124"/>
        <v>433523.34</v>
      </c>
      <c r="O284" s="59">
        <f t="shared" ca="1" si="121"/>
        <v>22.000230393699191</v>
      </c>
      <c r="P284" s="59">
        <f t="shared" ca="1" si="122"/>
        <v>27.28861682172397</v>
      </c>
    </row>
    <row r="285" spans="1:16" ht="18.75" x14ac:dyDescent="0.25">
      <c r="A285" s="157"/>
      <c r="B285" s="53"/>
      <c r="C285" s="53"/>
      <c r="D285" s="54" t="s">
        <v>20</v>
      </c>
      <c r="E285" s="53"/>
      <c r="F285" s="53"/>
      <c r="G285" s="55"/>
      <c r="H285" s="163" t="s">
        <v>12</v>
      </c>
      <c r="I285" s="164"/>
      <c r="J285" s="164"/>
      <c r="K285" s="165"/>
      <c r="L285" s="59">
        <f t="shared" ref="L285:N285" ca="1" si="125">L286+L287</f>
        <v>1970540</v>
      </c>
      <c r="M285" s="59">
        <f t="shared" ca="1" si="125"/>
        <v>1588660</v>
      </c>
      <c r="N285" s="59">
        <f t="shared" ca="1" si="125"/>
        <v>433523.34</v>
      </c>
      <c r="O285" s="59">
        <f t="shared" ca="1" si="121"/>
        <v>22.000230393699191</v>
      </c>
      <c r="P285" s="59">
        <f t="shared" ca="1" si="122"/>
        <v>27.28861682172397</v>
      </c>
    </row>
    <row r="286" spans="1:16" ht="18.75" x14ac:dyDescent="0.25">
      <c r="A286" s="157"/>
      <c r="B286" s="53"/>
      <c r="C286" s="53"/>
      <c r="D286" s="53"/>
      <c r="E286" s="60" t="s">
        <v>34</v>
      </c>
      <c r="F286" s="53"/>
      <c r="G286" s="55"/>
      <c r="H286" s="163" t="s">
        <v>12</v>
      </c>
      <c r="I286" s="164"/>
      <c r="J286" s="164"/>
      <c r="K286" s="165"/>
      <c r="L286" s="59">
        <f ca="1">IFERROR(__xludf.DUMMYFUNCTION("IMPORTRANGE(""https://docs.google.com/spreadsheets/d/1jTcq05yEiRwXcBMLjiodW9e4biSGYWAHcDj22rKWQ3s/edit?usp=sharing"",""กำแพงเพชร!L286"")+IMPORTRANGE(""https://docs.google.com/spreadsheets/d/1KS0zmDSZPk8KnTAbGN-Xk6MtX1YRZD0ldgdt20K4CRk/edit?usp=sharing"","&amp;"""เชียงราย!L286"")+IMPORTRANGE(""https://docs.google.com/spreadsheets/d/1rEDxBtusbi64tE0zunoIbsTVV16HeL0oJ6trHQeQ7K8/edit?usp=sharing"",""เชียงใหม่!L286"")+IMPORTRANGE(""https://docs.google.com/spreadsheets/d/1W6MnUbDkMi6xHnHko_XkFDO9kkuL6Wqyc-6OCDFjW9I/e"&amp;"dit?usp=sharing"",""ตาก!L286"")+IMPORTRANGE(""https://docs.google.com/spreadsheets/d/1IQAWArduLkta9LpYo4a_ULsyqdta6-6aDDiwpUnQT6c/edit?usp=sharing"",""นครสวรรค์!L286"")+IMPORTRANGE(""https://docs.google.com/spreadsheets/d/10s13Sk5xrltsiR-Zkbmk5DwIaDIKO8Xl"&amp;"bJAfqyT7Gvg/edit?usp=sharing"",""น่าน!L286"")+IMPORTRANGE(""https://docs.google.com/spreadsheets/d/1uu4nAn4Dbi1XREnLKKotUANlKXa7yCgRcgq8HEzQYW8/edit?usp=sharing"",""พะเยา!L286"")+IMPORTRANGE(""https://docs.google.com/spreadsheets/d/1xfJKIQxVOaPDIICqsflNlL"&amp;"u3JacTDk1FP9RH4phX7mI/edit?usp=sharing"",""พิจิตร!L286"")+IMPORTRANGE(""https://docs.google.com/spreadsheets/d/1JtRfZkJMHtEhI5RdRHxYUG4FIZHqKDpNyIuN7A1Q0_k/edit?usp=sharing"",""พิษณุโลก!L286"")+IMPORTRANGE(""https://docs.google.com/spreadsheets/d/1xlcVZWU"&amp;"Nn6SuWm0c307h32SiGkd9BaeQWlAktfD3KO8/edit?usp=sharing"",""เพชรบูรณ์!L286"")+IMPORTRANGE(""https://docs.google.com/spreadsheets/d/1lOVebEIsI9qjGXl6EX66luk7wiuP2tBaryw-wKvv4e0/edit?usp=sharing"",""แพร่!L286"")+IMPORTRANGE(""https://docs.google.com/spreadshe"&amp;"ets/d/1dQrvX0vEcN7Gu0fnZ0B5S90AeR19zth4XlExFBeExMY/edit?usp=sharing"",""แม่ฮ่องสอน!L286"")+IMPORTRANGE(""https://docs.google.com/spreadsheets/d/1DY4XTNNwjluuxqdfdn6qvOSlMRrZqUtmYcZR0ttFiG4/edit?usp=sharing"",""ลำปาง!L286"")+IMPORTRANGE(""https://docs.goog"&amp;"le.com/spreadsheets/d/1ICwG78r0OFT8biBlxnBF8r7she7gNSzOvJ958PWT09c/edit?usp=sharing"",""ลำพูน!L286"")+IMPORTRANGE(""https://docs.google.com/spreadsheets/d/1B0f2xJpZUC6Z0xXnqKlZtEPzsf6L84eP1r1Q15seqRM/edit?usp=sharing"",""สุโขทัย!L286"")+IMPORTRANGE(""http"&amp;"s://docs.google.com/spreadsheets/d/1v0b9pFQCsKUVExMei7AgY2yQkdeNQvtOssygGsXbiKo/edit?usp=sharing"",""อุตรดิตถ์!L286"")+IMPORTRANGE(""https://docs.google.com/spreadsheets/d/1UsNK1e-WWiCo2PvGqdNfdme4m17_Ezd3J69EeeiQPD0/edit?usp=sharing"",""อุทัยธานี!L286"")"),0)</f>
        <v>0</v>
      </c>
      <c r="M286" s="59">
        <f ca="1">IFERROR(__xludf.DUMMYFUNCTION("IMPORTRANGE(""https://docs.google.com/spreadsheets/d/1jTcq05yEiRwXcBMLjiodW9e4biSGYWAHcDj22rKWQ3s/edit?usp=sharing"",""กำแพงเพชร!M286"")+IMPORTRANGE(""https://docs.google.com/spreadsheets/d/1KS0zmDSZPk8KnTAbGN-Xk6MtX1YRZD0ldgdt20K4CRk/edit?usp=sharing"","&amp;"""เชียงราย!M286"")+IMPORTRANGE(""https://docs.google.com/spreadsheets/d/1rEDxBtusbi64tE0zunoIbsTVV16HeL0oJ6trHQeQ7K8/edit?usp=sharing"",""เชียงใหม่!M286"")+IMPORTRANGE(""https://docs.google.com/spreadsheets/d/1W6MnUbDkMi6xHnHko_XkFDO9kkuL6Wqyc-6OCDFjW9I/e"&amp;"dit?usp=sharing"",""ตาก!M286"")+IMPORTRANGE(""https://docs.google.com/spreadsheets/d/1IQAWArduLkta9LpYo4a_ULsyqdta6-6aDDiwpUnQT6c/edit?usp=sharing"",""นครสวรรค์!M286"")+IMPORTRANGE(""https://docs.google.com/spreadsheets/d/10s13Sk5xrltsiR-Zkbmk5DwIaDIKO8Xl"&amp;"bJAfqyT7Gvg/edit?usp=sharing"",""น่าน!M286"")+IMPORTRANGE(""https://docs.google.com/spreadsheets/d/1uu4nAn4Dbi1XREnLKKotUANlKXa7yCgRcgq8HEzQYW8/edit?usp=sharing"",""พะเยา!M286"")+IMPORTRANGE(""https://docs.google.com/spreadsheets/d/1xfJKIQxVOaPDIICqsflNlL"&amp;"u3JacTDk1FP9RH4phX7mI/edit?usp=sharing"",""พิจิตร!M286"")+IMPORTRANGE(""https://docs.google.com/spreadsheets/d/1JtRfZkJMHtEhI5RdRHxYUG4FIZHqKDpNyIuN7A1Q0_k/edit?usp=sharing"",""พิษณุโลก!M286"")+IMPORTRANGE(""https://docs.google.com/spreadsheets/d/1xlcVZWU"&amp;"Nn6SuWm0c307h32SiGkd9BaeQWlAktfD3KO8/edit?usp=sharing"",""เพชรบูรณ์!M286"")+IMPORTRANGE(""https://docs.google.com/spreadsheets/d/1lOVebEIsI9qjGXl6EX66luk7wiuP2tBaryw-wKvv4e0/edit?usp=sharing"",""แพร่!M286"")+IMPORTRANGE(""https://docs.google.com/spreadshe"&amp;"ets/d/1dQrvX0vEcN7Gu0fnZ0B5S90AeR19zth4XlExFBeExMY/edit?usp=sharing"",""แม่ฮ่องสอน!M286"")+IMPORTRANGE(""https://docs.google.com/spreadsheets/d/1DY4XTNNwjluuxqdfdn6qvOSlMRrZqUtmYcZR0ttFiG4/edit?usp=sharing"",""ลำปาง!M286"")+IMPORTRANGE(""https://docs.goog"&amp;"le.com/spreadsheets/d/1ICwG78r0OFT8biBlxnBF8r7she7gNSzOvJ958PWT09c/edit?usp=sharing"",""ลำพูน!M286"")+IMPORTRANGE(""https://docs.google.com/spreadsheets/d/1B0f2xJpZUC6Z0xXnqKlZtEPzsf6L84eP1r1Q15seqRM/edit?usp=sharing"",""สุโขทัย!M286"")+IMPORTRANGE(""http"&amp;"s://docs.google.com/spreadsheets/d/1v0b9pFQCsKUVExMei7AgY2yQkdeNQvtOssygGsXbiKo/edit?usp=sharing"",""อุตรดิตถ์!M286"")+IMPORTRANGE(""https://docs.google.com/spreadsheets/d/1UsNK1e-WWiCo2PvGqdNfdme4m17_Ezd3J69EeeiQPD0/edit?usp=sharing"",""อุทัยธานี!M286"")"),0)</f>
        <v>0</v>
      </c>
      <c r="N286" s="59">
        <f ca="1">IFERROR(__xludf.DUMMYFUNCTION("IMPORTRANGE(""https://docs.google.com/spreadsheets/d/1jTcq05yEiRwXcBMLjiodW9e4biSGYWAHcDj22rKWQ3s/edit?usp=sharing"",""กำแพงเพชร!N286"")+IMPORTRANGE(""https://docs.google.com/spreadsheets/d/1KS0zmDSZPk8KnTAbGN-Xk6MtX1YRZD0ldgdt20K4CRk/edit?usp=sharing"","&amp;"""เชียงราย!N286"")+IMPORTRANGE(""https://docs.google.com/spreadsheets/d/1rEDxBtusbi64tE0zunoIbsTVV16HeL0oJ6trHQeQ7K8/edit?usp=sharing"",""เชียงใหม่!N286"")+IMPORTRANGE(""https://docs.google.com/spreadsheets/d/1W6MnUbDkMi6xHnHko_XkFDO9kkuL6Wqyc-6OCDFjW9I/e"&amp;"dit?usp=sharing"",""ตาก!N286"")+IMPORTRANGE(""https://docs.google.com/spreadsheets/d/1IQAWArduLkta9LpYo4a_ULsyqdta6-6aDDiwpUnQT6c/edit?usp=sharing"",""นครสวรรค์!N286"")+IMPORTRANGE(""https://docs.google.com/spreadsheets/d/10s13Sk5xrltsiR-Zkbmk5DwIaDIKO8Xl"&amp;"bJAfqyT7Gvg/edit?usp=sharing"",""น่าน!N286"")+IMPORTRANGE(""https://docs.google.com/spreadsheets/d/1uu4nAn4Dbi1XREnLKKotUANlKXa7yCgRcgq8HEzQYW8/edit?usp=sharing"",""พะเยา!N286"")+IMPORTRANGE(""https://docs.google.com/spreadsheets/d/1xfJKIQxVOaPDIICqsflNlL"&amp;"u3JacTDk1FP9RH4phX7mI/edit?usp=sharing"",""พิจิตร!N286"")+IMPORTRANGE(""https://docs.google.com/spreadsheets/d/1JtRfZkJMHtEhI5RdRHxYUG4FIZHqKDpNyIuN7A1Q0_k/edit?usp=sharing"",""พิษณุโลก!N286"")+IMPORTRANGE(""https://docs.google.com/spreadsheets/d/1xlcVZWU"&amp;"Nn6SuWm0c307h32SiGkd9BaeQWlAktfD3KO8/edit?usp=sharing"",""เพชรบูรณ์!N286"")+IMPORTRANGE(""https://docs.google.com/spreadsheets/d/1lOVebEIsI9qjGXl6EX66luk7wiuP2tBaryw-wKvv4e0/edit?usp=sharing"",""แพร่!N286"")+IMPORTRANGE(""https://docs.google.com/spreadshe"&amp;"ets/d/1dQrvX0vEcN7Gu0fnZ0B5S90AeR19zth4XlExFBeExMY/edit?usp=sharing"",""แม่ฮ่องสอน!N286"")+IMPORTRANGE(""https://docs.google.com/spreadsheets/d/1DY4XTNNwjluuxqdfdn6qvOSlMRrZqUtmYcZR0ttFiG4/edit?usp=sharing"",""ลำปาง!N286"")+IMPORTRANGE(""https://docs.goog"&amp;"le.com/spreadsheets/d/1ICwG78r0OFT8biBlxnBF8r7she7gNSzOvJ958PWT09c/edit?usp=sharing"",""ลำพูน!N286"")+IMPORTRANGE(""https://docs.google.com/spreadsheets/d/1B0f2xJpZUC6Z0xXnqKlZtEPzsf6L84eP1r1Q15seqRM/edit?usp=sharing"",""สุโขทัย!N286"")+IMPORTRANGE(""http"&amp;"s://docs.google.com/spreadsheets/d/1v0b9pFQCsKUVExMei7AgY2yQkdeNQvtOssygGsXbiKo/edit?usp=sharing"",""อุตรดิตถ์!N286"")+IMPORTRANGE(""https://docs.google.com/spreadsheets/d/1UsNK1e-WWiCo2PvGqdNfdme4m17_Ezd3J69EeeiQPD0/edit?usp=sharing"",""อุทัยธานี!N286"")"),0)</f>
        <v>0</v>
      </c>
      <c r="O286" s="59">
        <f t="shared" ca="1" si="121"/>
        <v>0</v>
      </c>
      <c r="P286" s="59">
        <f t="shared" ca="1" si="122"/>
        <v>0</v>
      </c>
    </row>
    <row r="287" spans="1:16" ht="18.75" x14ac:dyDescent="0.25">
      <c r="A287" s="157"/>
      <c r="B287" s="53"/>
      <c r="C287" s="53"/>
      <c r="D287" s="53"/>
      <c r="E287" s="60" t="s">
        <v>35</v>
      </c>
      <c r="F287" s="53"/>
      <c r="G287" s="55"/>
      <c r="H287" s="163" t="s">
        <v>12</v>
      </c>
      <c r="I287" s="164"/>
      <c r="J287" s="164"/>
      <c r="K287" s="165"/>
      <c r="L287" s="59">
        <f ca="1">IFERROR(__xludf.DUMMYFUNCTION("IMPORTRANGE(""https://docs.google.com/spreadsheets/d/1jTcq05yEiRwXcBMLjiodW9e4biSGYWAHcDj22rKWQ3s/edit?usp=sharing"",""กำแพงเพชร!L287"")+IMPORTRANGE(""https://docs.google.com/spreadsheets/d/1KS0zmDSZPk8KnTAbGN-Xk6MtX1YRZD0ldgdt20K4CRk/edit?usp=sharing"","&amp;"""เชียงราย!L287"")+IMPORTRANGE(""https://docs.google.com/spreadsheets/d/1rEDxBtusbi64tE0zunoIbsTVV16HeL0oJ6trHQeQ7K8/edit?usp=sharing"",""เชียงใหม่!L287"")+IMPORTRANGE(""https://docs.google.com/spreadsheets/d/1W6MnUbDkMi6xHnHko_XkFDO9kkuL6Wqyc-6OCDFjW9I/e"&amp;"dit?usp=sharing"",""ตาก!L287"")+IMPORTRANGE(""https://docs.google.com/spreadsheets/d/1IQAWArduLkta9LpYo4a_ULsyqdta6-6aDDiwpUnQT6c/edit?usp=sharing"",""นครสวรรค์!L287"")+IMPORTRANGE(""https://docs.google.com/spreadsheets/d/10s13Sk5xrltsiR-Zkbmk5DwIaDIKO8Xl"&amp;"bJAfqyT7Gvg/edit?usp=sharing"",""น่าน!L287"")+IMPORTRANGE(""https://docs.google.com/spreadsheets/d/1uu4nAn4Dbi1XREnLKKotUANlKXa7yCgRcgq8HEzQYW8/edit?usp=sharing"",""พะเยา!L287"")+IMPORTRANGE(""https://docs.google.com/spreadsheets/d/1xfJKIQxVOaPDIICqsflNlL"&amp;"u3JacTDk1FP9RH4phX7mI/edit?usp=sharing"",""พิจิตร!L287"")+IMPORTRANGE(""https://docs.google.com/spreadsheets/d/1JtRfZkJMHtEhI5RdRHxYUG4FIZHqKDpNyIuN7A1Q0_k/edit?usp=sharing"",""พิษณุโลก!L287"")+IMPORTRANGE(""https://docs.google.com/spreadsheets/d/1xlcVZWU"&amp;"Nn6SuWm0c307h32SiGkd9BaeQWlAktfD3KO8/edit?usp=sharing"",""เพชรบูรณ์!L287"")+IMPORTRANGE(""https://docs.google.com/spreadsheets/d/1lOVebEIsI9qjGXl6EX66luk7wiuP2tBaryw-wKvv4e0/edit?usp=sharing"",""แพร่!L287"")+IMPORTRANGE(""https://docs.google.com/spreadshe"&amp;"ets/d/1dQrvX0vEcN7Gu0fnZ0B5S90AeR19zth4XlExFBeExMY/edit?usp=sharing"",""แม่ฮ่องสอน!L287"")+IMPORTRANGE(""https://docs.google.com/spreadsheets/d/1DY4XTNNwjluuxqdfdn6qvOSlMRrZqUtmYcZR0ttFiG4/edit?usp=sharing"",""ลำปาง!L287"")+IMPORTRANGE(""https://docs.goog"&amp;"le.com/spreadsheets/d/1ICwG78r0OFT8biBlxnBF8r7she7gNSzOvJ958PWT09c/edit?usp=sharing"",""ลำพูน!L287"")+IMPORTRANGE(""https://docs.google.com/spreadsheets/d/1B0f2xJpZUC6Z0xXnqKlZtEPzsf6L84eP1r1Q15seqRM/edit?usp=sharing"",""สุโขทัย!L287"")+IMPORTRANGE(""http"&amp;"s://docs.google.com/spreadsheets/d/1v0b9pFQCsKUVExMei7AgY2yQkdeNQvtOssygGsXbiKo/edit?usp=sharing"",""อุตรดิตถ์!L287"")+IMPORTRANGE(""https://docs.google.com/spreadsheets/d/1UsNK1e-WWiCo2PvGqdNfdme4m17_Ezd3J69EeeiQPD0/edit?usp=sharing"",""อุทัยธานี!L287"")"),1970540)</f>
        <v>1970540</v>
      </c>
      <c r="M287" s="59">
        <f ca="1">IFERROR(__xludf.DUMMYFUNCTION("IMPORTRANGE(""https://docs.google.com/spreadsheets/d/1jTcq05yEiRwXcBMLjiodW9e4biSGYWAHcDj22rKWQ3s/edit?usp=sharing"",""กำแพงเพชร!M287"")+IMPORTRANGE(""https://docs.google.com/spreadsheets/d/1KS0zmDSZPk8KnTAbGN-Xk6MtX1YRZD0ldgdt20K4CRk/edit?usp=sharing"","&amp;"""เชียงราย!M287"")+IMPORTRANGE(""https://docs.google.com/spreadsheets/d/1rEDxBtusbi64tE0zunoIbsTVV16HeL0oJ6trHQeQ7K8/edit?usp=sharing"",""เชียงใหม่!M287"")+IMPORTRANGE(""https://docs.google.com/spreadsheets/d/1W6MnUbDkMi6xHnHko_XkFDO9kkuL6Wqyc-6OCDFjW9I/e"&amp;"dit?usp=sharing"",""ตาก!M287"")+IMPORTRANGE(""https://docs.google.com/spreadsheets/d/1IQAWArduLkta9LpYo4a_ULsyqdta6-6aDDiwpUnQT6c/edit?usp=sharing"",""นครสวรรค์!M287"")+IMPORTRANGE(""https://docs.google.com/spreadsheets/d/10s13Sk5xrltsiR-Zkbmk5DwIaDIKO8Xl"&amp;"bJAfqyT7Gvg/edit?usp=sharing"",""น่าน!M287"")+IMPORTRANGE(""https://docs.google.com/spreadsheets/d/1uu4nAn4Dbi1XREnLKKotUANlKXa7yCgRcgq8HEzQYW8/edit?usp=sharing"",""พะเยา!M287"")+IMPORTRANGE(""https://docs.google.com/spreadsheets/d/1xfJKIQxVOaPDIICqsflNlL"&amp;"u3JacTDk1FP9RH4phX7mI/edit?usp=sharing"",""พิจิตร!M287"")+IMPORTRANGE(""https://docs.google.com/spreadsheets/d/1JtRfZkJMHtEhI5RdRHxYUG4FIZHqKDpNyIuN7A1Q0_k/edit?usp=sharing"",""พิษณุโลก!M287"")+IMPORTRANGE(""https://docs.google.com/spreadsheets/d/1xlcVZWU"&amp;"Nn6SuWm0c307h32SiGkd9BaeQWlAktfD3KO8/edit?usp=sharing"",""เพชรบูรณ์!M287"")+IMPORTRANGE(""https://docs.google.com/spreadsheets/d/1lOVebEIsI9qjGXl6EX66luk7wiuP2tBaryw-wKvv4e0/edit?usp=sharing"",""แพร่!M287"")+IMPORTRANGE(""https://docs.google.com/spreadshe"&amp;"ets/d/1dQrvX0vEcN7Gu0fnZ0B5S90AeR19zth4XlExFBeExMY/edit?usp=sharing"",""แม่ฮ่องสอน!M287"")+IMPORTRANGE(""https://docs.google.com/spreadsheets/d/1DY4XTNNwjluuxqdfdn6qvOSlMRrZqUtmYcZR0ttFiG4/edit?usp=sharing"",""ลำปาง!M287"")+IMPORTRANGE(""https://docs.goog"&amp;"le.com/spreadsheets/d/1ICwG78r0OFT8biBlxnBF8r7she7gNSzOvJ958PWT09c/edit?usp=sharing"",""ลำพูน!M287"")+IMPORTRANGE(""https://docs.google.com/spreadsheets/d/1B0f2xJpZUC6Z0xXnqKlZtEPzsf6L84eP1r1Q15seqRM/edit?usp=sharing"",""สุโขทัย!M287"")+IMPORTRANGE(""http"&amp;"s://docs.google.com/spreadsheets/d/1v0b9pFQCsKUVExMei7AgY2yQkdeNQvtOssygGsXbiKo/edit?usp=sharing"",""อุตรดิตถ์!M287"")+IMPORTRANGE(""https://docs.google.com/spreadsheets/d/1UsNK1e-WWiCo2PvGqdNfdme4m17_Ezd3J69EeeiQPD0/edit?usp=sharing"",""อุทัยธานี!M287"")"),1588660)</f>
        <v>1588660</v>
      </c>
      <c r="N287" s="59">
        <f ca="1">IFERROR(__xludf.DUMMYFUNCTION("IMPORTRANGE(""https://docs.google.com/spreadsheets/d/1jTcq05yEiRwXcBMLjiodW9e4biSGYWAHcDj22rKWQ3s/edit?usp=sharing"",""กำแพงเพชร!N287"")+IMPORTRANGE(""https://docs.google.com/spreadsheets/d/1KS0zmDSZPk8KnTAbGN-Xk6MtX1YRZD0ldgdt20K4CRk/edit?usp=sharing"","&amp;"""เชียงราย!N287"")+IMPORTRANGE(""https://docs.google.com/spreadsheets/d/1rEDxBtusbi64tE0zunoIbsTVV16HeL0oJ6trHQeQ7K8/edit?usp=sharing"",""เชียงใหม่!N287"")+IMPORTRANGE(""https://docs.google.com/spreadsheets/d/1W6MnUbDkMi6xHnHko_XkFDO9kkuL6Wqyc-6OCDFjW9I/e"&amp;"dit?usp=sharing"",""ตาก!N287"")+IMPORTRANGE(""https://docs.google.com/spreadsheets/d/1IQAWArduLkta9LpYo4a_ULsyqdta6-6aDDiwpUnQT6c/edit?usp=sharing"",""นครสวรรค์!N287"")+IMPORTRANGE(""https://docs.google.com/spreadsheets/d/10s13Sk5xrltsiR-Zkbmk5DwIaDIKO8Xl"&amp;"bJAfqyT7Gvg/edit?usp=sharing"",""น่าน!N287"")+IMPORTRANGE(""https://docs.google.com/spreadsheets/d/1uu4nAn4Dbi1XREnLKKotUANlKXa7yCgRcgq8HEzQYW8/edit?usp=sharing"",""พะเยา!N287"")+IMPORTRANGE(""https://docs.google.com/spreadsheets/d/1xfJKIQxVOaPDIICqsflNlL"&amp;"u3JacTDk1FP9RH4phX7mI/edit?usp=sharing"",""พิจิตร!N287"")+IMPORTRANGE(""https://docs.google.com/spreadsheets/d/1JtRfZkJMHtEhI5RdRHxYUG4FIZHqKDpNyIuN7A1Q0_k/edit?usp=sharing"",""พิษณุโลก!N287"")+IMPORTRANGE(""https://docs.google.com/spreadsheets/d/1xlcVZWU"&amp;"Nn6SuWm0c307h32SiGkd9BaeQWlAktfD3KO8/edit?usp=sharing"",""เพชรบูรณ์!N287"")+IMPORTRANGE(""https://docs.google.com/spreadsheets/d/1lOVebEIsI9qjGXl6EX66luk7wiuP2tBaryw-wKvv4e0/edit?usp=sharing"",""แพร่!N287"")+IMPORTRANGE(""https://docs.google.com/spreadshe"&amp;"ets/d/1dQrvX0vEcN7Gu0fnZ0B5S90AeR19zth4XlExFBeExMY/edit?usp=sharing"",""แม่ฮ่องสอน!N287"")+IMPORTRANGE(""https://docs.google.com/spreadsheets/d/1DY4XTNNwjluuxqdfdn6qvOSlMRrZqUtmYcZR0ttFiG4/edit?usp=sharing"",""ลำปาง!N287"")+IMPORTRANGE(""https://docs.goog"&amp;"le.com/spreadsheets/d/1ICwG78r0OFT8biBlxnBF8r7she7gNSzOvJ958PWT09c/edit?usp=sharing"",""ลำพูน!N287"")+IMPORTRANGE(""https://docs.google.com/spreadsheets/d/1B0f2xJpZUC6Z0xXnqKlZtEPzsf6L84eP1r1Q15seqRM/edit?usp=sharing"",""สุโขทัย!N287"")+IMPORTRANGE(""http"&amp;"s://docs.google.com/spreadsheets/d/1v0b9pFQCsKUVExMei7AgY2yQkdeNQvtOssygGsXbiKo/edit?usp=sharing"",""อุตรดิตถ์!N287"")+IMPORTRANGE(""https://docs.google.com/spreadsheets/d/1UsNK1e-WWiCo2PvGqdNfdme4m17_Ezd3J69EeeiQPD0/edit?usp=sharing"",""อุทัยธานี!N287"")"),433523.34)</f>
        <v>433523.34</v>
      </c>
      <c r="O287" s="59">
        <f t="shared" ca="1" si="121"/>
        <v>22.000230393699191</v>
      </c>
      <c r="P287" s="59">
        <f t="shared" ca="1" si="122"/>
        <v>27.28861682172397</v>
      </c>
    </row>
    <row r="288" spans="1:16" ht="18.75" x14ac:dyDescent="0.25">
      <c r="A288" s="157"/>
      <c r="B288" s="53"/>
      <c r="C288" s="53"/>
      <c r="D288" s="54" t="s">
        <v>21</v>
      </c>
      <c r="E288" s="53"/>
      <c r="F288" s="53"/>
      <c r="G288" s="55"/>
      <c r="H288" s="166" t="s">
        <v>12</v>
      </c>
      <c r="I288" s="164"/>
      <c r="J288" s="164"/>
      <c r="K288" s="165"/>
      <c r="L288" s="59">
        <f t="shared" ref="L288:N288" ca="1" si="126">L289+L290</f>
        <v>0</v>
      </c>
      <c r="M288" s="59">
        <f t="shared" ca="1" si="126"/>
        <v>0</v>
      </c>
      <c r="N288" s="59">
        <f t="shared" ca="1" si="126"/>
        <v>0</v>
      </c>
      <c r="O288" s="59">
        <f t="shared" ca="1" si="121"/>
        <v>0</v>
      </c>
      <c r="P288" s="59">
        <f t="shared" ca="1" si="122"/>
        <v>0</v>
      </c>
    </row>
    <row r="289" spans="1:16" ht="18.75" x14ac:dyDescent="0.25">
      <c r="A289" s="157"/>
      <c r="B289" s="53"/>
      <c r="C289" s="53"/>
      <c r="D289" s="53"/>
      <c r="E289" s="60" t="s">
        <v>18</v>
      </c>
      <c r="F289" s="53"/>
      <c r="G289" s="55"/>
      <c r="H289" s="163" t="s">
        <v>12</v>
      </c>
      <c r="I289" s="164"/>
      <c r="J289" s="164"/>
      <c r="K289" s="165"/>
      <c r="L289" s="59">
        <f ca="1">IFERROR(__xludf.DUMMYFUNCTION("IMPORTRANGE(""https://docs.google.com/spreadsheets/d/1jTcq05yEiRwXcBMLjiodW9e4biSGYWAHcDj22rKWQ3s/edit?usp=sharing"",""กำแพงเพชร!L289"")+IMPORTRANGE(""https://docs.google.com/spreadsheets/d/1KS0zmDSZPk8KnTAbGN-Xk6MtX1YRZD0ldgdt20K4CRk/edit?usp=sharing"","&amp;"""เชียงราย!L289"")+IMPORTRANGE(""https://docs.google.com/spreadsheets/d/1rEDxBtusbi64tE0zunoIbsTVV16HeL0oJ6trHQeQ7K8/edit?usp=sharing"",""เชียงใหม่!L289"")+IMPORTRANGE(""https://docs.google.com/spreadsheets/d/1W6MnUbDkMi6xHnHko_XkFDO9kkuL6Wqyc-6OCDFjW9I/e"&amp;"dit?usp=sharing"",""ตาก!L289"")+IMPORTRANGE(""https://docs.google.com/spreadsheets/d/1IQAWArduLkta9LpYo4a_ULsyqdta6-6aDDiwpUnQT6c/edit?usp=sharing"",""นครสวรรค์!L289"")+IMPORTRANGE(""https://docs.google.com/spreadsheets/d/10s13Sk5xrltsiR-Zkbmk5DwIaDIKO8Xl"&amp;"bJAfqyT7Gvg/edit?usp=sharing"",""น่าน!L289"")+IMPORTRANGE(""https://docs.google.com/spreadsheets/d/1uu4nAn4Dbi1XREnLKKotUANlKXa7yCgRcgq8HEzQYW8/edit?usp=sharing"",""พะเยา!L289"")+IMPORTRANGE(""https://docs.google.com/spreadsheets/d/1xfJKIQxVOaPDIICqsflNlL"&amp;"u3JacTDk1FP9RH4phX7mI/edit?usp=sharing"",""พิจิตร!L289"")+IMPORTRANGE(""https://docs.google.com/spreadsheets/d/1JtRfZkJMHtEhI5RdRHxYUG4FIZHqKDpNyIuN7A1Q0_k/edit?usp=sharing"",""พิษณุโลก!L289"")+IMPORTRANGE(""https://docs.google.com/spreadsheets/d/1xlcVZWU"&amp;"Nn6SuWm0c307h32SiGkd9BaeQWlAktfD3KO8/edit?usp=sharing"",""เพชรบูรณ์!L289"")+IMPORTRANGE(""https://docs.google.com/spreadsheets/d/1lOVebEIsI9qjGXl6EX66luk7wiuP2tBaryw-wKvv4e0/edit?usp=sharing"",""แพร่!L289"")+IMPORTRANGE(""https://docs.google.com/spreadshe"&amp;"ets/d/1dQrvX0vEcN7Gu0fnZ0B5S90AeR19zth4XlExFBeExMY/edit?usp=sharing"",""แม่ฮ่องสอน!L289"")+IMPORTRANGE(""https://docs.google.com/spreadsheets/d/1DY4XTNNwjluuxqdfdn6qvOSlMRrZqUtmYcZR0ttFiG4/edit?usp=sharing"",""ลำปาง!L289"")+IMPORTRANGE(""https://docs.goog"&amp;"le.com/spreadsheets/d/1ICwG78r0OFT8biBlxnBF8r7she7gNSzOvJ958PWT09c/edit?usp=sharing"",""ลำพูน!L289"")+IMPORTRANGE(""https://docs.google.com/spreadsheets/d/1B0f2xJpZUC6Z0xXnqKlZtEPzsf6L84eP1r1Q15seqRM/edit?usp=sharing"",""สุโขทัย!L289"")+IMPORTRANGE(""http"&amp;"s://docs.google.com/spreadsheets/d/1v0b9pFQCsKUVExMei7AgY2yQkdeNQvtOssygGsXbiKo/edit?usp=sharing"",""อุตรดิตถ์!L289"")+IMPORTRANGE(""https://docs.google.com/spreadsheets/d/1UsNK1e-WWiCo2PvGqdNfdme4m17_Ezd3J69EeeiQPD0/edit?usp=sharing"",""อุทัยธานี!L289"")"),0)</f>
        <v>0</v>
      </c>
      <c r="M289" s="59">
        <f ca="1">IFERROR(__xludf.DUMMYFUNCTION("IMPORTRANGE(""https://docs.google.com/spreadsheets/d/1jTcq05yEiRwXcBMLjiodW9e4biSGYWAHcDj22rKWQ3s/edit?usp=sharing"",""กำแพงเพชร!M289"")+IMPORTRANGE(""https://docs.google.com/spreadsheets/d/1KS0zmDSZPk8KnTAbGN-Xk6MtX1YRZD0ldgdt20K4CRk/edit?usp=sharing"","&amp;"""เชียงราย!M289"")+IMPORTRANGE(""https://docs.google.com/spreadsheets/d/1rEDxBtusbi64tE0zunoIbsTVV16HeL0oJ6trHQeQ7K8/edit?usp=sharing"",""เชียงใหม่!M289"")+IMPORTRANGE(""https://docs.google.com/spreadsheets/d/1W6MnUbDkMi6xHnHko_XkFDO9kkuL6Wqyc-6OCDFjW9I/e"&amp;"dit?usp=sharing"",""ตาก!M289"")+IMPORTRANGE(""https://docs.google.com/spreadsheets/d/1IQAWArduLkta9LpYo4a_ULsyqdta6-6aDDiwpUnQT6c/edit?usp=sharing"",""นครสวรรค์!M289"")+IMPORTRANGE(""https://docs.google.com/spreadsheets/d/10s13Sk5xrltsiR-Zkbmk5DwIaDIKO8Xl"&amp;"bJAfqyT7Gvg/edit?usp=sharing"",""น่าน!M289"")+IMPORTRANGE(""https://docs.google.com/spreadsheets/d/1uu4nAn4Dbi1XREnLKKotUANlKXa7yCgRcgq8HEzQYW8/edit?usp=sharing"",""พะเยา!M289"")+IMPORTRANGE(""https://docs.google.com/spreadsheets/d/1xfJKIQxVOaPDIICqsflNlL"&amp;"u3JacTDk1FP9RH4phX7mI/edit?usp=sharing"",""พิจิตร!M289"")+IMPORTRANGE(""https://docs.google.com/spreadsheets/d/1JtRfZkJMHtEhI5RdRHxYUG4FIZHqKDpNyIuN7A1Q0_k/edit?usp=sharing"",""พิษณุโลก!M289"")+IMPORTRANGE(""https://docs.google.com/spreadsheets/d/1xlcVZWU"&amp;"Nn6SuWm0c307h32SiGkd9BaeQWlAktfD3KO8/edit?usp=sharing"",""เพชรบูรณ์!M289"")+IMPORTRANGE(""https://docs.google.com/spreadsheets/d/1lOVebEIsI9qjGXl6EX66luk7wiuP2tBaryw-wKvv4e0/edit?usp=sharing"",""แพร่!M289"")+IMPORTRANGE(""https://docs.google.com/spreadshe"&amp;"ets/d/1dQrvX0vEcN7Gu0fnZ0B5S90AeR19zth4XlExFBeExMY/edit?usp=sharing"",""แม่ฮ่องสอน!M289"")+IMPORTRANGE(""https://docs.google.com/spreadsheets/d/1DY4XTNNwjluuxqdfdn6qvOSlMRrZqUtmYcZR0ttFiG4/edit?usp=sharing"",""ลำปาง!M289"")+IMPORTRANGE(""https://docs.goog"&amp;"le.com/spreadsheets/d/1ICwG78r0OFT8biBlxnBF8r7she7gNSzOvJ958PWT09c/edit?usp=sharing"",""ลำพูน!M289"")+IMPORTRANGE(""https://docs.google.com/spreadsheets/d/1B0f2xJpZUC6Z0xXnqKlZtEPzsf6L84eP1r1Q15seqRM/edit?usp=sharing"",""สุโขทัย!M289"")+IMPORTRANGE(""http"&amp;"s://docs.google.com/spreadsheets/d/1v0b9pFQCsKUVExMei7AgY2yQkdeNQvtOssygGsXbiKo/edit?usp=sharing"",""อุตรดิตถ์!M289"")+IMPORTRANGE(""https://docs.google.com/spreadsheets/d/1UsNK1e-WWiCo2PvGqdNfdme4m17_Ezd3J69EeeiQPD0/edit?usp=sharing"",""อุทัยธานี!M289"")"),0)</f>
        <v>0</v>
      </c>
      <c r="N289" s="59">
        <f ca="1">IFERROR(__xludf.DUMMYFUNCTION("IMPORTRANGE(""https://docs.google.com/spreadsheets/d/1jTcq05yEiRwXcBMLjiodW9e4biSGYWAHcDj22rKWQ3s/edit?usp=sharing"",""กำแพงเพชร!N289"")+IMPORTRANGE(""https://docs.google.com/spreadsheets/d/1KS0zmDSZPk8KnTAbGN-Xk6MtX1YRZD0ldgdt20K4CRk/edit?usp=sharing"","&amp;"""เชียงราย!N289"")+IMPORTRANGE(""https://docs.google.com/spreadsheets/d/1rEDxBtusbi64tE0zunoIbsTVV16HeL0oJ6trHQeQ7K8/edit?usp=sharing"",""เชียงใหม่!N289"")+IMPORTRANGE(""https://docs.google.com/spreadsheets/d/1W6MnUbDkMi6xHnHko_XkFDO9kkuL6Wqyc-6OCDFjW9I/e"&amp;"dit?usp=sharing"",""ตาก!N289"")+IMPORTRANGE(""https://docs.google.com/spreadsheets/d/1IQAWArduLkta9LpYo4a_ULsyqdta6-6aDDiwpUnQT6c/edit?usp=sharing"",""นครสวรรค์!N289"")+IMPORTRANGE(""https://docs.google.com/spreadsheets/d/10s13Sk5xrltsiR-Zkbmk5DwIaDIKO8Xl"&amp;"bJAfqyT7Gvg/edit?usp=sharing"",""น่าน!N289"")+IMPORTRANGE(""https://docs.google.com/spreadsheets/d/1uu4nAn4Dbi1XREnLKKotUANlKXa7yCgRcgq8HEzQYW8/edit?usp=sharing"",""พะเยา!N289"")+IMPORTRANGE(""https://docs.google.com/spreadsheets/d/1xfJKIQxVOaPDIICqsflNlL"&amp;"u3JacTDk1FP9RH4phX7mI/edit?usp=sharing"",""พิจิตร!N289"")+IMPORTRANGE(""https://docs.google.com/spreadsheets/d/1JtRfZkJMHtEhI5RdRHxYUG4FIZHqKDpNyIuN7A1Q0_k/edit?usp=sharing"",""พิษณุโลก!N289"")+IMPORTRANGE(""https://docs.google.com/spreadsheets/d/1xlcVZWU"&amp;"Nn6SuWm0c307h32SiGkd9BaeQWlAktfD3KO8/edit?usp=sharing"",""เพชรบูรณ์!N289"")+IMPORTRANGE(""https://docs.google.com/spreadsheets/d/1lOVebEIsI9qjGXl6EX66luk7wiuP2tBaryw-wKvv4e0/edit?usp=sharing"",""แพร่!N289"")+IMPORTRANGE(""https://docs.google.com/spreadshe"&amp;"ets/d/1dQrvX0vEcN7Gu0fnZ0B5S90AeR19zth4XlExFBeExMY/edit?usp=sharing"",""แม่ฮ่องสอน!N289"")+IMPORTRANGE(""https://docs.google.com/spreadsheets/d/1DY4XTNNwjluuxqdfdn6qvOSlMRrZqUtmYcZR0ttFiG4/edit?usp=sharing"",""ลำปาง!N289"")+IMPORTRANGE(""https://docs.goog"&amp;"le.com/spreadsheets/d/1ICwG78r0OFT8biBlxnBF8r7she7gNSzOvJ958PWT09c/edit?usp=sharing"",""ลำพูน!N289"")+IMPORTRANGE(""https://docs.google.com/spreadsheets/d/1B0f2xJpZUC6Z0xXnqKlZtEPzsf6L84eP1r1Q15seqRM/edit?usp=sharing"",""สุโขทัย!N289"")+IMPORTRANGE(""http"&amp;"s://docs.google.com/spreadsheets/d/1v0b9pFQCsKUVExMei7AgY2yQkdeNQvtOssygGsXbiKo/edit?usp=sharing"",""อุตรดิตถ์!N289"")+IMPORTRANGE(""https://docs.google.com/spreadsheets/d/1UsNK1e-WWiCo2PvGqdNfdme4m17_Ezd3J69EeeiQPD0/edit?usp=sharing"",""อุทัยธานี!N289"")"),0)</f>
        <v>0</v>
      </c>
      <c r="O289" s="59">
        <f t="shared" ca="1" si="121"/>
        <v>0</v>
      </c>
      <c r="P289" s="59">
        <f t="shared" ca="1" si="122"/>
        <v>0</v>
      </c>
    </row>
    <row r="290" spans="1:16" ht="18.75" x14ac:dyDescent="0.25">
      <c r="A290" s="157"/>
      <c r="B290" s="53"/>
      <c r="C290" s="53"/>
      <c r="D290" s="53"/>
      <c r="E290" s="60" t="s">
        <v>19</v>
      </c>
      <c r="F290" s="53"/>
      <c r="G290" s="55"/>
      <c r="H290" s="166" t="s">
        <v>12</v>
      </c>
      <c r="I290" s="164"/>
      <c r="J290" s="164"/>
      <c r="K290" s="165"/>
      <c r="L290" s="59">
        <f ca="1">IFERROR(__xludf.DUMMYFUNCTION("IMPORTRANGE(""https://docs.google.com/spreadsheets/d/1jTcq05yEiRwXcBMLjiodW9e4biSGYWAHcDj22rKWQ3s/edit?usp=sharing"",""กำแพงเพชร!L290"")+IMPORTRANGE(""https://docs.google.com/spreadsheets/d/1KS0zmDSZPk8KnTAbGN-Xk6MtX1YRZD0ldgdt20K4CRk/edit?usp=sharing"","&amp;"""เชียงราย!L290"")+IMPORTRANGE(""https://docs.google.com/spreadsheets/d/1rEDxBtusbi64tE0zunoIbsTVV16HeL0oJ6trHQeQ7K8/edit?usp=sharing"",""เชียงใหม่!L290"")+IMPORTRANGE(""https://docs.google.com/spreadsheets/d/1W6MnUbDkMi6xHnHko_XkFDO9kkuL6Wqyc-6OCDFjW9I/e"&amp;"dit?usp=sharing"",""ตาก!L290"")+IMPORTRANGE(""https://docs.google.com/spreadsheets/d/1IQAWArduLkta9LpYo4a_ULsyqdta6-6aDDiwpUnQT6c/edit?usp=sharing"",""นครสวรรค์!L290"")+IMPORTRANGE(""https://docs.google.com/spreadsheets/d/10s13Sk5xrltsiR-Zkbmk5DwIaDIKO8Xl"&amp;"bJAfqyT7Gvg/edit?usp=sharing"",""น่าน!L290"")+IMPORTRANGE(""https://docs.google.com/spreadsheets/d/1uu4nAn4Dbi1XREnLKKotUANlKXa7yCgRcgq8HEzQYW8/edit?usp=sharing"",""พะเยา!L290"")+IMPORTRANGE(""https://docs.google.com/spreadsheets/d/1xfJKIQxVOaPDIICqsflNlL"&amp;"u3JacTDk1FP9RH4phX7mI/edit?usp=sharing"",""พิจิตร!L290"")+IMPORTRANGE(""https://docs.google.com/spreadsheets/d/1JtRfZkJMHtEhI5RdRHxYUG4FIZHqKDpNyIuN7A1Q0_k/edit?usp=sharing"",""พิษณุโลก!L290"")+IMPORTRANGE(""https://docs.google.com/spreadsheets/d/1xlcVZWU"&amp;"Nn6SuWm0c307h32SiGkd9BaeQWlAktfD3KO8/edit?usp=sharing"",""เพชรบูรณ์!L290"")+IMPORTRANGE(""https://docs.google.com/spreadsheets/d/1lOVebEIsI9qjGXl6EX66luk7wiuP2tBaryw-wKvv4e0/edit?usp=sharing"",""แพร่!L290"")+IMPORTRANGE(""https://docs.google.com/spreadshe"&amp;"ets/d/1dQrvX0vEcN7Gu0fnZ0B5S90AeR19zth4XlExFBeExMY/edit?usp=sharing"",""แม่ฮ่องสอน!L290"")+IMPORTRANGE(""https://docs.google.com/spreadsheets/d/1DY4XTNNwjluuxqdfdn6qvOSlMRrZqUtmYcZR0ttFiG4/edit?usp=sharing"",""ลำปาง!L290"")+IMPORTRANGE(""https://docs.goog"&amp;"le.com/spreadsheets/d/1ICwG78r0OFT8biBlxnBF8r7she7gNSzOvJ958PWT09c/edit?usp=sharing"",""ลำพูน!L290"")+IMPORTRANGE(""https://docs.google.com/spreadsheets/d/1B0f2xJpZUC6Z0xXnqKlZtEPzsf6L84eP1r1Q15seqRM/edit?usp=sharing"",""สุโขทัย!L290"")+IMPORTRANGE(""http"&amp;"s://docs.google.com/spreadsheets/d/1v0b9pFQCsKUVExMei7AgY2yQkdeNQvtOssygGsXbiKo/edit?usp=sharing"",""อุตรดิตถ์!L290"")+IMPORTRANGE(""https://docs.google.com/spreadsheets/d/1UsNK1e-WWiCo2PvGqdNfdme4m17_Ezd3J69EeeiQPD0/edit?usp=sharing"",""อุทัยธานี!L290"")"),0)</f>
        <v>0</v>
      </c>
      <c r="M290" s="59">
        <f ca="1">IFERROR(__xludf.DUMMYFUNCTION("IMPORTRANGE(""https://docs.google.com/spreadsheets/d/1jTcq05yEiRwXcBMLjiodW9e4biSGYWAHcDj22rKWQ3s/edit?usp=sharing"",""กำแพงเพชร!M290"")+IMPORTRANGE(""https://docs.google.com/spreadsheets/d/1KS0zmDSZPk8KnTAbGN-Xk6MtX1YRZD0ldgdt20K4CRk/edit?usp=sharing"","&amp;"""เชียงราย!M290"")+IMPORTRANGE(""https://docs.google.com/spreadsheets/d/1rEDxBtusbi64tE0zunoIbsTVV16HeL0oJ6trHQeQ7K8/edit?usp=sharing"",""เชียงใหม่!M290"")+IMPORTRANGE(""https://docs.google.com/spreadsheets/d/1W6MnUbDkMi6xHnHko_XkFDO9kkuL6Wqyc-6OCDFjW9I/e"&amp;"dit?usp=sharing"",""ตาก!M290"")+IMPORTRANGE(""https://docs.google.com/spreadsheets/d/1IQAWArduLkta9LpYo4a_ULsyqdta6-6aDDiwpUnQT6c/edit?usp=sharing"",""นครสวรรค์!M290"")+IMPORTRANGE(""https://docs.google.com/spreadsheets/d/10s13Sk5xrltsiR-Zkbmk5DwIaDIKO8Xl"&amp;"bJAfqyT7Gvg/edit?usp=sharing"",""น่าน!M290"")+IMPORTRANGE(""https://docs.google.com/spreadsheets/d/1uu4nAn4Dbi1XREnLKKotUANlKXa7yCgRcgq8HEzQYW8/edit?usp=sharing"",""พะเยา!M290"")+IMPORTRANGE(""https://docs.google.com/spreadsheets/d/1xfJKIQxVOaPDIICqsflNlL"&amp;"u3JacTDk1FP9RH4phX7mI/edit?usp=sharing"",""พิจิตร!M290"")+IMPORTRANGE(""https://docs.google.com/spreadsheets/d/1JtRfZkJMHtEhI5RdRHxYUG4FIZHqKDpNyIuN7A1Q0_k/edit?usp=sharing"",""พิษณุโลก!M290"")+IMPORTRANGE(""https://docs.google.com/spreadsheets/d/1xlcVZWU"&amp;"Nn6SuWm0c307h32SiGkd9BaeQWlAktfD3KO8/edit?usp=sharing"",""เพชรบูรณ์!M290"")+IMPORTRANGE(""https://docs.google.com/spreadsheets/d/1lOVebEIsI9qjGXl6EX66luk7wiuP2tBaryw-wKvv4e0/edit?usp=sharing"",""แพร่!M290"")+IMPORTRANGE(""https://docs.google.com/spreadshe"&amp;"ets/d/1dQrvX0vEcN7Gu0fnZ0B5S90AeR19zth4XlExFBeExMY/edit?usp=sharing"",""แม่ฮ่องสอน!M290"")+IMPORTRANGE(""https://docs.google.com/spreadsheets/d/1DY4XTNNwjluuxqdfdn6qvOSlMRrZqUtmYcZR0ttFiG4/edit?usp=sharing"",""ลำปาง!M290"")+IMPORTRANGE(""https://docs.goog"&amp;"le.com/spreadsheets/d/1ICwG78r0OFT8biBlxnBF8r7she7gNSzOvJ958PWT09c/edit?usp=sharing"",""ลำพูน!M290"")+IMPORTRANGE(""https://docs.google.com/spreadsheets/d/1B0f2xJpZUC6Z0xXnqKlZtEPzsf6L84eP1r1Q15seqRM/edit?usp=sharing"",""สุโขทัย!M290"")+IMPORTRANGE(""http"&amp;"s://docs.google.com/spreadsheets/d/1v0b9pFQCsKUVExMei7AgY2yQkdeNQvtOssygGsXbiKo/edit?usp=sharing"",""อุตรดิตถ์!M290"")+IMPORTRANGE(""https://docs.google.com/spreadsheets/d/1UsNK1e-WWiCo2PvGqdNfdme4m17_Ezd3J69EeeiQPD0/edit?usp=sharing"",""อุทัยธานี!M290"")"),0)</f>
        <v>0</v>
      </c>
      <c r="N290" s="59">
        <f ca="1">IFERROR(__xludf.DUMMYFUNCTION("IMPORTRANGE(""https://docs.google.com/spreadsheets/d/1jTcq05yEiRwXcBMLjiodW9e4biSGYWAHcDj22rKWQ3s/edit?usp=sharing"",""กำแพงเพชร!N290"")+IMPORTRANGE(""https://docs.google.com/spreadsheets/d/1KS0zmDSZPk8KnTAbGN-Xk6MtX1YRZD0ldgdt20K4CRk/edit?usp=sharing"","&amp;"""เชียงราย!N290"")+IMPORTRANGE(""https://docs.google.com/spreadsheets/d/1rEDxBtusbi64tE0zunoIbsTVV16HeL0oJ6trHQeQ7K8/edit?usp=sharing"",""เชียงใหม่!N290"")+IMPORTRANGE(""https://docs.google.com/spreadsheets/d/1W6MnUbDkMi6xHnHko_XkFDO9kkuL6Wqyc-6OCDFjW9I/e"&amp;"dit?usp=sharing"",""ตาก!N290"")+IMPORTRANGE(""https://docs.google.com/spreadsheets/d/1IQAWArduLkta9LpYo4a_ULsyqdta6-6aDDiwpUnQT6c/edit?usp=sharing"",""นครสวรรค์!N290"")+IMPORTRANGE(""https://docs.google.com/spreadsheets/d/10s13Sk5xrltsiR-Zkbmk5DwIaDIKO8Xl"&amp;"bJAfqyT7Gvg/edit?usp=sharing"",""น่าน!N290"")+IMPORTRANGE(""https://docs.google.com/spreadsheets/d/1uu4nAn4Dbi1XREnLKKotUANlKXa7yCgRcgq8HEzQYW8/edit?usp=sharing"",""พะเยา!N290"")+IMPORTRANGE(""https://docs.google.com/spreadsheets/d/1xfJKIQxVOaPDIICqsflNlL"&amp;"u3JacTDk1FP9RH4phX7mI/edit?usp=sharing"",""พิจิตร!N290"")+IMPORTRANGE(""https://docs.google.com/spreadsheets/d/1JtRfZkJMHtEhI5RdRHxYUG4FIZHqKDpNyIuN7A1Q0_k/edit?usp=sharing"",""พิษณุโลก!N290"")+IMPORTRANGE(""https://docs.google.com/spreadsheets/d/1xlcVZWU"&amp;"Nn6SuWm0c307h32SiGkd9BaeQWlAktfD3KO8/edit?usp=sharing"",""เพชรบูรณ์!N290"")+IMPORTRANGE(""https://docs.google.com/spreadsheets/d/1lOVebEIsI9qjGXl6EX66luk7wiuP2tBaryw-wKvv4e0/edit?usp=sharing"",""แพร่!N290"")+IMPORTRANGE(""https://docs.google.com/spreadshe"&amp;"ets/d/1dQrvX0vEcN7Gu0fnZ0B5S90AeR19zth4XlExFBeExMY/edit?usp=sharing"",""แม่ฮ่องสอน!N290"")+IMPORTRANGE(""https://docs.google.com/spreadsheets/d/1DY4XTNNwjluuxqdfdn6qvOSlMRrZqUtmYcZR0ttFiG4/edit?usp=sharing"",""ลำปาง!N290"")+IMPORTRANGE(""https://docs.goog"&amp;"le.com/spreadsheets/d/1ICwG78r0OFT8biBlxnBF8r7she7gNSzOvJ958PWT09c/edit?usp=sharing"",""ลำพูน!N290"")+IMPORTRANGE(""https://docs.google.com/spreadsheets/d/1B0f2xJpZUC6Z0xXnqKlZtEPzsf6L84eP1r1Q15seqRM/edit?usp=sharing"",""สุโขทัย!N290"")+IMPORTRANGE(""http"&amp;"s://docs.google.com/spreadsheets/d/1v0b9pFQCsKUVExMei7AgY2yQkdeNQvtOssygGsXbiKo/edit?usp=sharing"",""อุตรดิตถ์!N290"")+IMPORTRANGE(""https://docs.google.com/spreadsheets/d/1UsNK1e-WWiCo2PvGqdNfdme4m17_Ezd3J69EeeiQPD0/edit?usp=sharing"",""อุทัยธานี!N290"")"),0)</f>
        <v>0</v>
      </c>
      <c r="O290" s="59">
        <f t="shared" ca="1" si="121"/>
        <v>0</v>
      </c>
      <c r="P290" s="59">
        <f t="shared" ca="1" si="122"/>
        <v>0</v>
      </c>
    </row>
    <row r="291" spans="1:16" ht="19.5" x14ac:dyDescent="0.3">
      <c r="A291" s="167"/>
      <c r="B291" s="168"/>
      <c r="C291" s="158" t="s">
        <v>16</v>
      </c>
      <c r="D291" s="169" t="s">
        <v>36</v>
      </c>
      <c r="E291" s="170"/>
      <c r="F291" s="170"/>
      <c r="G291" s="171"/>
      <c r="H291" s="172"/>
      <c r="I291" s="164"/>
      <c r="J291" s="164"/>
      <c r="K291" s="165"/>
      <c r="L291" s="165"/>
      <c r="M291" s="165"/>
      <c r="N291" s="165"/>
      <c r="O291" s="165"/>
      <c r="P291" s="165"/>
    </row>
    <row r="292" spans="1:16" ht="18.75" x14ac:dyDescent="0.25">
      <c r="A292" s="167"/>
      <c r="B292" s="168"/>
      <c r="C292" s="168"/>
      <c r="D292" s="193" t="s">
        <v>113</v>
      </c>
      <c r="E292" s="168"/>
      <c r="F292" s="174"/>
      <c r="G292" s="172"/>
      <c r="H292" s="183" t="s">
        <v>44</v>
      </c>
      <c r="I292" s="194">
        <f ca="1">IFERROR(__xludf.DUMMYFUNCTION("IMPORTRANGE(""https://docs.google.com/spreadsheets/d/1jTcq05yEiRwXcBMLjiodW9e4biSGYWAHcDj22rKWQ3s/edit?usp=sharing"",""กำแพงเพชร!I292"")+IMPORTRANGE(""https://docs.google.com/spreadsheets/d/1KS0zmDSZPk8KnTAbGN-Xk6MtX1YRZD0ldgdt20K4CRk/edit?usp=sharing"","&amp;"""เชียงราย!I292"")+IMPORTRANGE(""https://docs.google.com/spreadsheets/d/1rEDxBtusbi64tE0zunoIbsTVV16HeL0oJ6trHQeQ7K8/edit?usp=sharing"",""เชียงใหม่!I292"")+IMPORTRANGE(""https://docs.google.com/spreadsheets/d/1W6MnUbDkMi6xHnHko_XkFDO9kkuL6Wqyc-6OCDFjW9I/e"&amp;"dit?usp=sharing"",""ตาก!I292"")+IMPORTRANGE(""https://docs.google.com/spreadsheets/d/1IQAWArduLkta9LpYo4a_ULsyqdta6-6aDDiwpUnQT6c/edit?usp=sharing"",""นครสวรรค์!I292"")+IMPORTRANGE(""https://docs.google.com/spreadsheets/d/10s13Sk5xrltsiR-Zkbmk5DwIaDIKO8Xl"&amp;"bJAfqyT7Gvg/edit?usp=sharing"",""น่าน!I292"")+IMPORTRANGE(""https://docs.google.com/spreadsheets/d/1uu4nAn4Dbi1XREnLKKotUANlKXa7yCgRcgq8HEzQYW8/edit?usp=sharing"",""พะเยา!I292"")+IMPORTRANGE(""https://docs.google.com/spreadsheets/d/1xfJKIQxVOaPDIICqsflNlL"&amp;"u3JacTDk1FP9RH4phX7mI/edit?usp=sharing"",""พิจิตร!I292"")+IMPORTRANGE(""https://docs.google.com/spreadsheets/d/1JtRfZkJMHtEhI5RdRHxYUG4FIZHqKDpNyIuN7A1Q0_k/edit?usp=sharing"",""พิษณุโลก!I292"")+IMPORTRANGE(""https://docs.google.com/spreadsheets/d/1xlcVZWU"&amp;"Nn6SuWm0c307h32SiGkd9BaeQWlAktfD3KO8/edit?usp=sharing"",""เพชรบูรณ์!I292"")+IMPORTRANGE(""https://docs.google.com/spreadsheets/d/1lOVebEIsI9qjGXl6EX66luk7wiuP2tBaryw-wKvv4e0/edit?usp=sharing"",""แพร่!I292"")+IMPORTRANGE(""https://docs.google.com/spreadshe"&amp;"ets/d/1dQrvX0vEcN7Gu0fnZ0B5S90AeR19zth4XlExFBeExMY/edit?usp=sharing"",""แม่ฮ่องสอน!I292"")+IMPORTRANGE(""https://docs.google.com/spreadsheets/d/1DY4XTNNwjluuxqdfdn6qvOSlMRrZqUtmYcZR0ttFiG4/edit?usp=sharing"",""ลำปาง!I292"")+IMPORTRANGE(""https://docs.goog"&amp;"le.com/spreadsheets/d/1ICwG78r0OFT8biBlxnBF8r7she7gNSzOvJ958PWT09c/edit?usp=sharing"",""ลำพูน!I292"")+IMPORTRANGE(""https://docs.google.com/spreadsheets/d/1B0f2xJpZUC6Z0xXnqKlZtEPzsf6L84eP1r1Q15seqRM/edit?usp=sharing"",""สุโขทัย!I292"")+IMPORTRANGE(""http"&amp;"s://docs.google.com/spreadsheets/d/1v0b9pFQCsKUVExMei7AgY2yQkdeNQvtOssygGsXbiKo/edit?usp=sharing"",""อุตรดิตถ์!I292"")+IMPORTRANGE(""https://docs.google.com/spreadsheets/d/1UsNK1e-WWiCo2PvGqdNfdme4m17_Ezd3J69EeeiQPD0/edit?usp=sharing"",""อุทัยธานี!I292"")"),4100)</f>
        <v>4100</v>
      </c>
      <c r="J292" s="181">
        <f ca="1">IFERROR(__xludf.DUMMYFUNCTION("IMPORTRANGE(""https://docs.google.com/spreadsheets/d/1jTcq05yEiRwXcBMLjiodW9e4biSGYWAHcDj22rKWQ3s/edit?usp=sharing"",""กำแพงเพชร!J292"")+IMPORTRANGE(""https://docs.google.com/spreadsheets/d/1KS0zmDSZPk8KnTAbGN-Xk6MtX1YRZD0ldgdt20K4CRk/edit?usp=sharing"","&amp;"""เชียงราย!J292"")+IMPORTRANGE(""https://docs.google.com/spreadsheets/d/1rEDxBtusbi64tE0zunoIbsTVV16HeL0oJ6trHQeQ7K8/edit?usp=sharing"",""เชียงใหม่!J292"")+IMPORTRANGE(""https://docs.google.com/spreadsheets/d/1W6MnUbDkMi6xHnHko_XkFDO9kkuL6Wqyc-6OCDFjW9I/e"&amp;"dit?usp=sharing"",""ตาก!J292"")+IMPORTRANGE(""https://docs.google.com/spreadsheets/d/1IQAWArduLkta9LpYo4a_ULsyqdta6-6aDDiwpUnQT6c/edit?usp=sharing"",""นครสวรรค์!J292"")+IMPORTRANGE(""https://docs.google.com/spreadsheets/d/10s13Sk5xrltsiR-Zkbmk5DwIaDIKO8Xl"&amp;"bJAfqyT7Gvg/edit?usp=sharing"",""น่าน!J292"")+IMPORTRANGE(""https://docs.google.com/spreadsheets/d/1uu4nAn4Dbi1XREnLKKotUANlKXa7yCgRcgq8HEzQYW8/edit?usp=sharing"",""พะเยา!J292"")+IMPORTRANGE(""https://docs.google.com/spreadsheets/d/1xfJKIQxVOaPDIICqsflNlL"&amp;"u3JacTDk1FP9RH4phX7mI/edit?usp=sharing"",""พิจิตร!J292"")+IMPORTRANGE(""https://docs.google.com/spreadsheets/d/1JtRfZkJMHtEhI5RdRHxYUG4FIZHqKDpNyIuN7A1Q0_k/edit?usp=sharing"",""พิษณุโลก!J292"")+IMPORTRANGE(""https://docs.google.com/spreadsheets/d/1xlcVZWU"&amp;"Nn6SuWm0c307h32SiGkd9BaeQWlAktfD3KO8/edit?usp=sharing"",""เพชรบูรณ์!J292"")+IMPORTRANGE(""https://docs.google.com/spreadsheets/d/1lOVebEIsI9qjGXl6EX66luk7wiuP2tBaryw-wKvv4e0/edit?usp=sharing"",""แพร่!J292"")+IMPORTRANGE(""https://docs.google.com/spreadshe"&amp;"ets/d/1dQrvX0vEcN7Gu0fnZ0B5S90AeR19zth4XlExFBeExMY/edit?usp=sharing"",""แม่ฮ่องสอน!J292"")+IMPORTRANGE(""https://docs.google.com/spreadsheets/d/1DY4XTNNwjluuxqdfdn6qvOSlMRrZqUtmYcZR0ttFiG4/edit?usp=sharing"",""ลำปาง!J292"")+IMPORTRANGE(""https://docs.goog"&amp;"le.com/spreadsheets/d/1ICwG78r0OFT8biBlxnBF8r7she7gNSzOvJ958PWT09c/edit?usp=sharing"",""ลำพูน!J292"")+IMPORTRANGE(""https://docs.google.com/spreadsheets/d/1B0f2xJpZUC6Z0xXnqKlZtEPzsf6L84eP1r1Q15seqRM/edit?usp=sharing"",""สุโขทัย!J292"")+IMPORTRANGE(""http"&amp;"s://docs.google.com/spreadsheets/d/1v0b9pFQCsKUVExMei7AgY2yQkdeNQvtOssygGsXbiKo/edit?usp=sharing"",""อุตรดิตถ์!J292"")+IMPORTRANGE(""https://docs.google.com/spreadsheets/d/1UsNK1e-WWiCo2PvGqdNfdme4m17_Ezd3J69EeeiQPD0/edit?usp=sharing"",""อุทัยธานี!J292"")"),1300)</f>
        <v>1300</v>
      </c>
      <c r="K292" s="182">
        <f t="shared" ref="K292:K293" ca="1" si="127">IF(I292&gt;0,J292*100/I292,0)</f>
        <v>31.707317073170731</v>
      </c>
      <c r="L292" s="165"/>
      <c r="M292" s="165"/>
      <c r="N292" s="165"/>
      <c r="O292" s="165"/>
      <c r="P292" s="165"/>
    </row>
    <row r="293" spans="1:16" ht="19.5" x14ac:dyDescent="0.3">
      <c r="A293" s="167"/>
      <c r="B293" s="168"/>
      <c r="C293" s="168"/>
      <c r="D293" s="178" t="s">
        <v>114</v>
      </c>
      <c r="E293" s="168"/>
      <c r="F293" s="174"/>
      <c r="G293" s="172"/>
      <c r="H293" s="175" t="s">
        <v>33</v>
      </c>
      <c r="I293" s="176">
        <f ca="1">IFERROR(__xludf.DUMMYFUNCTION("IMPORTRANGE(""https://docs.google.com/spreadsheets/d/1jTcq05yEiRwXcBMLjiodW9e4biSGYWAHcDj22rKWQ3s/edit?usp=sharing"",""กำแพงเพชร!I293"")+IMPORTRANGE(""https://docs.google.com/spreadsheets/d/1KS0zmDSZPk8KnTAbGN-Xk6MtX1YRZD0ldgdt20K4CRk/edit?usp=sharing"","&amp;"""เชียงราย!I293"")+IMPORTRANGE(""https://docs.google.com/spreadsheets/d/1rEDxBtusbi64tE0zunoIbsTVV16HeL0oJ6trHQeQ7K8/edit?usp=sharing"",""เชียงใหม่!I293"")+IMPORTRANGE(""https://docs.google.com/spreadsheets/d/1W6MnUbDkMi6xHnHko_XkFDO9kkuL6Wqyc-6OCDFjW9I/e"&amp;"dit?usp=sharing"",""ตาก!I293"")+IMPORTRANGE(""https://docs.google.com/spreadsheets/d/1IQAWArduLkta9LpYo4a_ULsyqdta6-6aDDiwpUnQT6c/edit?usp=sharing"",""นครสวรรค์!I293"")+IMPORTRANGE(""https://docs.google.com/spreadsheets/d/10s13Sk5xrltsiR-Zkbmk5DwIaDIKO8Xl"&amp;"bJAfqyT7Gvg/edit?usp=sharing"",""น่าน!I293"")+IMPORTRANGE(""https://docs.google.com/spreadsheets/d/1uu4nAn4Dbi1XREnLKKotUANlKXa7yCgRcgq8HEzQYW8/edit?usp=sharing"",""พะเยา!I293"")+IMPORTRANGE(""https://docs.google.com/spreadsheets/d/1xfJKIQxVOaPDIICqsflNlL"&amp;"u3JacTDk1FP9RH4phX7mI/edit?usp=sharing"",""พิจิตร!I293"")+IMPORTRANGE(""https://docs.google.com/spreadsheets/d/1JtRfZkJMHtEhI5RdRHxYUG4FIZHqKDpNyIuN7A1Q0_k/edit?usp=sharing"",""พิษณุโลก!I293"")+IMPORTRANGE(""https://docs.google.com/spreadsheets/d/1xlcVZWU"&amp;"Nn6SuWm0c307h32SiGkd9BaeQWlAktfD3KO8/edit?usp=sharing"",""เพชรบูรณ์!I293"")+IMPORTRANGE(""https://docs.google.com/spreadsheets/d/1lOVebEIsI9qjGXl6EX66luk7wiuP2tBaryw-wKvv4e0/edit?usp=sharing"",""แพร่!I293"")+IMPORTRANGE(""https://docs.google.com/spreadshe"&amp;"ets/d/1dQrvX0vEcN7Gu0fnZ0B5S90AeR19zth4XlExFBeExMY/edit?usp=sharing"",""แม่ฮ่องสอน!I293"")+IMPORTRANGE(""https://docs.google.com/spreadsheets/d/1DY4XTNNwjluuxqdfdn6qvOSlMRrZqUtmYcZR0ttFiG4/edit?usp=sharing"",""ลำปาง!I293"")+IMPORTRANGE(""https://docs.goog"&amp;"le.com/spreadsheets/d/1ICwG78r0OFT8biBlxnBF8r7she7gNSzOvJ958PWT09c/edit?usp=sharing"",""ลำพูน!I293"")+IMPORTRANGE(""https://docs.google.com/spreadsheets/d/1B0f2xJpZUC6Z0xXnqKlZtEPzsf6L84eP1r1Q15seqRM/edit?usp=sharing"",""สุโขทัย!I293"")+IMPORTRANGE(""http"&amp;"s://docs.google.com/spreadsheets/d/1v0b9pFQCsKUVExMei7AgY2yQkdeNQvtOssygGsXbiKo/edit?usp=sharing"",""อุตรดิตถ์!I293"")+IMPORTRANGE(""https://docs.google.com/spreadsheets/d/1UsNK1e-WWiCo2PvGqdNfdme4m17_Ezd3J69EeeiQPD0/edit?usp=sharing"",""อุทัยธานี!I293"")"),410)</f>
        <v>410</v>
      </c>
      <c r="J293" s="176">
        <f ca="1">IFERROR(__xludf.DUMMYFUNCTION("IMPORTRANGE(""https://docs.google.com/spreadsheets/d/1jTcq05yEiRwXcBMLjiodW9e4biSGYWAHcDj22rKWQ3s/edit?usp=sharing"",""กำแพงเพชร!J293"")+IMPORTRANGE(""https://docs.google.com/spreadsheets/d/1KS0zmDSZPk8KnTAbGN-Xk6MtX1YRZD0ldgdt20K4CRk/edit?usp=sharing"","&amp;"""เชียงราย!J293"")+IMPORTRANGE(""https://docs.google.com/spreadsheets/d/1rEDxBtusbi64tE0zunoIbsTVV16HeL0oJ6trHQeQ7K8/edit?usp=sharing"",""เชียงใหม่!J293"")+IMPORTRANGE(""https://docs.google.com/spreadsheets/d/1W6MnUbDkMi6xHnHko_XkFDO9kkuL6Wqyc-6OCDFjW9I/e"&amp;"dit?usp=sharing"",""ตาก!J293"")+IMPORTRANGE(""https://docs.google.com/spreadsheets/d/1IQAWArduLkta9LpYo4a_ULsyqdta6-6aDDiwpUnQT6c/edit?usp=sharing"",""นครสวรรค์!J293"")+IMPORTRANGE(""https://docs.google.com/spreadsheets/d/10s13Sk5xrltsiR-Zkbmk5DwIaDIKO8Xl"&amp;"bJAfqyT7Gvg/edit?usp=sharing"",""น่าน!J293"")+IMPORTRANGE(""https://docs.google.com/spreadsheets/d/1uu4nAn4Dbi1XREnLKKotUANlKXa7yCgRcgq8HEzQYW8/edit?usp=sharing"",""พะเยา!J293"")+IMPORTRANGE(""https://docs.google.com/spreadsheets/d/1xfJKIQxVOaPDIICqsflNlL"&amp;"u3JacTDk1FP9RH4phX7mI/edit?usp=sharing"",""พิจิตร!J293"")+IMPORTRANGE(""https://docs.google.com/spreadsheets/d/1JtRfZkJMHtEhI5RdRHxYUG4FIZHqKDpNyIuN7A1Q0_k/edit?usp=sharing"",""พิษณุโลก!J293"")+IMPORTRANGE(""https://docs.google.com/spreadsheets/d/1xlcVZWU"&amp;"Nn6SuWm0c307h32SiGkd9BaeQWlAktfD3KO8/edit?usp=sharing"",""เพชรบูรณ์!J293"")+IMPORTRANGE(""https://docs.google.com/spreadsheets/d/1lOVebEIsI9qjGXl6EX66luk7wiuP2tBaryw-wKvv4e0/edit?usp=sharing"",""แพร่!J293"")+IMPORTRANGE(""https://docs.google.com/spreadshe"&amp;"ets/d/1dQrvX0vEcN7Gu0fnZ0B5S90AeR19zth4XlExFBeExMY/edit?usp=sharing"",""แม่ฮ่องสอน!J293"")+IMPORTRANGE(""https://docs.google.com/spreadsheets/d/1DY4XTNNwjluuxqdfdn6qvOSlMRrZqUtmYcZR0ttFiG4/edit?usp=sharing"",""ลำปาง!J293"")+IMPORTRANGE(""https://docs.goog"&amp;"le.com/spreadsheets/d/1ICwG78r0OFT8biBlxnBF8r7she7gNSzOvJ958PWT09c/edit?usp=sharing"",""ลำพูน!J293"")+IMPORTRANGE(""https://docs.google.com/spreadsheets/d/1B0f2xJpZUC6Z0xXnqKlZtEPzsf6L84eP1r1Q15seqRM/edit?usp=sharing"",""สุโขทัย!J293"")+IMPORTRANGE(""http"&amp;"s://docs.google.com/spreadsheets/d/1v0b9pFQCsKUVExMei7AgY2yQkdeNQvtOssygGsXbiKo/edit?usp=sharing"",""อุตรดิตถ์!J293"")+IMPORTRANGE(""https://docs.google.com/spreadsheets/d/1UsNK1e-WWiCo2PvGqdNfdme4m17_Ezd3J69EeeiQPD0/edit?usp=sharing"",""อุทัยธานี!J293"")"),130)</f>
        <v>130</v>
      </c>
      <c r="K293" s="177">
        <f t="shared" ca="1" si="127"/>
        <v>31.707317073170731</v>
      </c>
      <c r="L293" s="165"/>
      <c r="M293" s="165"/>
      <c r="N293" s="165"/>
      <c r="O293" s="165"/>
      <c r="P293" s="165"/>
    </row>
    <row r="294" spans="1:16" ht="19.5" x14ac:dyDescent="0.3">
      <c r="A294" s="167"/>
      <c r="B294" s="168"/>
      <c r="C294" s="168"/>
      <c r="D294" s="174"/>
      <c r="E294" s="368" t="s">
        <v>115</v>
      </c>
      <c r="F294" s="174"/>
      <c r="G294" s="172"/>
      <c r="H294" s="172"/>
      <c r="I294" s="164"/>
      <c r="J294" s="57"/>
      <c r="K294" s="165"/>
      <c r="L294" s="165"/>
      <c r="M294" s="165"/>
      <c r="N294" s="165"/>
      <c r="O294" s="165"/>
      <c r="P294" s="165"/>
    </row>
    <row r="295" spans="1:16" ht="19.5" x14ac:dyDescent="0.3">
      <c r="A295" s="167"/>
      <c r="B295" s="168"/>
      <c r="C295" s="168"/>
      <c r="D295" s="174"/>
      <c r="E295" s="193" t="s">
        <v>116</v>
      </c>
      <c r="F295" s="174"/>
      <c r="G295" s="172"/>
      <c r="H295" s="179" t="s">
        <v>33</v>
      </c>
      <c r="I295" s="180">
        <f ca="1">IFERROR(__xludf.DUMMYFUNCTION("IMPORTRANGE(""https://docs.google.com/spreadsheets/d/1jTcq05yEiRwXcBMLjiodW9e4biSGYWAHcDj22rKWQ3s/edit?usp=sharing"",""กำแพงเพชร!I295"")+IMPORTRANGE(""https://docs.google.com/spreadsheets/d/1KS0zmDSZPk8KnTAbGN-Xk6MtX1YRZD0ldgdt20K4CRk/edit?usp=sharing"","&amp;"""เชียงราย!I295"")+IMPORTRANGE(""https://docs.google.com/spreadsheets/d/1rEDxBtusbi64tE0zunoIbsTVV16HeL0oJ6trHQeQ7K8/edit?usp=sharing"",""เชียงใหม่!I295"")+IMPORTRANGE(""https://docs.google.com/spreadsheets/d/1W6MnUbDkMi6xHnHko_XkFDO9kkuL6Wqyc-6OCDFjW9I/e"&amp;"dit?usp=sharing"",""ตาก!I295"")+IMPORTRANGE(""https://docs.google.com/spreadsheets/d/1IQAWArduLkta9LpYo4a_ULsyqdta6-6aDDiwpUnQT6c/edit?usp=sharing"",""นครสวรรค์!I295"")+IMPORTRANGE(""https://docs.google.com/spreadsheets/d/10s13Sk5xrltsiR-Zkbmk5DwIaDIKO8Xl"&amp;"bJAfqyT7Gvg/edit?usp=sharing"",""น่าน!I295"")+IMPORTRANGE(""https://docs.google.com/spreadsheets/d/1uu4nAn4Dbi1XREnLKKotUANlKXa7yCgRcgq8HEzQYW8/edit?usp=sharing"",""พะเยา!I295"")+IMPORTRANGE(""https://docs.google.com/spreadsheets/d/1xfJKIQxVOaPDIICqsflNlL"&amp;"u3JacTDk1FP9RH4phX7mI/edit?usp=sharing"",""พิจิตร!I295"")+IMPORTRANGE(""https://docs.google.com/spreadsheets/d/1JtRfZkJMHtEhI5RdRHxYUG4FIZHqKDpNyIuN7A1Q0_k/edit?usp=sharing"",""พิษณุโลก!I295"")+IMPORTRANGE(""https://docs.google.com/spreadsheets/d/1xlcVZWU"&amp;"Nn6SuWm0c307h32SiGkd9BaeQWlAktfD3KO8/edit?usp=sharing"",""เพชรบูรณ์!I295"")+IMPORTRANGE(""https://docs.google.com/spreadsheets/d/1lOVebEIsI9qjGXl6EX66luk7wiuP2tBaryw-wKvv4e0/edit?usp=sharing"",""แพร่!I295"")+IMPORTRANGE(""https://docs.google.com/spreadshe"&amp;"ets/d/1dQrvX0vEcN7Gu0fnZ0B5S90AeR19zth4XlExFBeExMY/edit?usp=sharing"",""แม่ฮ่องสอน!I295"")+IMPORTRANGE(""https://docs.google.com/spreadsheets/d/1DY4XTNNwjluuxqdfdn6qvOSlMRrZqUtmYcZR0ttFiG4/edit?usp=sharing"",""ลำปาง!I295"")+IMPORTRANGE(""https://docs.goog"&amp;"le.com/spreadsheets/d/1ICwG78r0OFT8biBlxnBF8r7she7gNSzOvJ958PWT09c/edit?usp=sharing"",""ลำพูน!I295"")+IMPORTRANGE(""https://docs.google.com/spreadsheets/d/1B0f2xJpZUC6Z0xXnqKlZtEPzsf6L84eP1r1Q15seqRM/edit?usp=sharing"",""สุโขทัย!I295"")+IMPORTRANGE(""http"&amp;"s://docs.google.com/spreadsheets/d/1v0b9pFQCsKUVExMei7AgY2yQkdeNQvtOssygGsXbiKo/edit?usp=sharing"",""อุตรดิตถ์!I295"")+IMPORTRANGE(""https://docs.google.com/spreadsheets/d/1UsNK1e-WWiCo2PvGqdNfdme4m17_Ezd3J69EeeiQPD0/edit?usp=sharing"",""อุทัยธานี!I295"")"),410)</f>
        <v>410</v>
      </c>
      <c r="J295" s="181">
        <f ca="1">IFERROR(__xludf.DUMMYFUNCTION("IMPORTRANGE(""https://docs.google.com/spreadsheets/d/1jTcq05yEiRwXcBMLjiodW9e4biSGYWAHcDj22rKWQ3s/edit?usp=sharing"",""กำแพงเพชร!J295"")+IMPORTRANGE(""https://docs.google.com/spreadsheets/d/1KS0zmDSZPk8KnTAbGN-Xk6MtX1YRZD0ldgdt20K4CRk/edit?usp=sharing"","&amp;"""เชียงราย!J295"")+IMPORTRANGE(""https://docs.google.com/spreadsheets/d/1rEDxBtusbi64tE0zunoIbsTVV16HeL0oJ6trHQeQ7K8/edit?usp=sharing"",""เชียงใหม่!J295"")+IMPORTRANGE(""https://docs.google.com/spreadsheets/d/1W6MnUbDkMi6xHnHko_XkFDO9kkuL6Wqyc-6OCDFjW9I/e"&amp;"dit?usp=sharing"",""ตาก!J295"")+IMPORTRANGE(""https://docs.google.com/spreadsheets/d/1IQAWArduLkta9LpYo4a_ULsyqdta6-6aDDiwpUnQT6c/edit?usp=sharing"",""นครสวรรค์!J295"")+IMPORTRANGE(""https://docs.google.com/spreadsheets/d/10s13Sk5xrltsiR-Zkbmk5DwIaDIKO8Xl"&amp;"bJAfqyT7Gvg/edit?usp=sharing"",""น่าน!J295"")+IMPORTRANGE(""https://docs.google.com/spreadsheets/d/1uu4nAn4Dbi1XREnLKKotUANlKXa7yCgRcgq8HEzQYW8/edit?usp=sharing"",""พะเยา!J295"")+IMPORTRANGE(""https://docs.google.com/spreadsheets/d/1xfJKIQxVOaPDIICqsflNlL"&amp;"u3JacTDk1FP9RH4phX7mI/edit?usp=sharing"",""พิจิตร!J295"")+IMPORTRANGE(""https://docs.google.com/spreadsheets/d/1JtRfZkJMHtEhI5RdRHxYUG4FIZHqKDpNyIuN7A1Q0_k/edit?usp=sharing"",""พิษณุโลก!J295"")+IMPORTRANGE(""https://docs.google.com/spreadsheets/d/1xlcVZWU"&amp;"Nn6SuWm0c307h32SiGkd9BaeQWlAktfD3KO8/edit?usp=sharing"",""เพชรบูรณ์!J295"")+IMPORTRANGE(""https://docs.google.com/spreadsheets/d/1lOVebEIsI9qjGXl6EX66luk7wiuP2tBaryw-wKvv4e0/edit?usp=sharing"",""แพร่!J295"")+IMPORTRANGE(""https://docs.google.com/spreadshe"&amp;"ets/d/1dQrvX0vEcN7Gu0fnZ0B5S90AeR19zth4XlExFBeExMY/edit?usp=sharing"",""แม่ฮ่องสอน!J295"")+IMPORTRANGE(""https://docs.google.com/spreadsheets/d/1DY4XTNNwjluuxqdfdn6qvOSlMRrZqUtmYcZR0ttFiG4/edit?usp=sharing"",""ลำปาง!J295"")+IMPORTRANGE(""https://docs.goog"&amp;"le.com/spreadsheets/d/1ICwG78r0OFT8biBlxnBF8r7she7gNSzOvJ958PWT09c/edit?usp=sharing"",""ลำพูน!J295"")+IMPORTRANGE(""https://docs.google.com/spreadsheets/d/1B0f2xJpZUC6Z0xXnqKlZtEPzsf6L84eP1r1Q15seqRM/edit?usp=sharing"",""สุโขทัย!J295"")+IMPORTRANGE(""http"&amp;"s://docs.google.com/spreadsheets/d/1v0b9pFQCsKUVExMei7AgY2yQkdeNQvtOssygGsXbiKo/edit?usp=sharing"",""อุตรดิตถ์!J295"")+IMPORTRANGE(""https://docs.google.com/spreadsheets/d/1UsNK1e-WWiCo2PvGqdNfdme4m17_Ezd3J69EeeiQPD0/edit?usp=sharing"",""อุทัยธานี!J295"")"),130)</f>
        <v>130</v>
      </c>
      <c r="K295" s="182">
        <f t="shared" ref="K295:K296" ca="1" si="128">IF(I295&gt;0,J295*100/I295,0)</f>
        <v>31.707317073170731</v>
      </c>
      <c r="L295" s="165"/>
      <c r="M295" s="165"/>
      <c r="N295" s="165"/>
      <c r="O295" s="165"/>
      <c r="P295" s="165"/>
    </row>
    <row r="296" spans="1:16" ht="19.5" x14ac:dyDescent="0.3">
      <c r="A296" s="167"/>
      <c r="B296" s="168"/>
      <c r="C296" s="168"/>
      <c r="D296" s="174"/>
      <c r="E296" s="178" t="s">
        <v>117</v>
      </c>
      <c r="F296" s="174"/>
      <c r="G296" s="172"/>
      <c r="H296" s="179" t="s">
        <v>33</v>
      </c>
      <c r="I296" s="180">
        <f ca="1">IFERROR(__xludf.DUMMYFUNCTION("IMPORTRANGE(""https://docs.google.com/spreadsheets/d/1jTcq05yEiRwXcBMLjiodW9e4biSGYWAHcDj22rKWQ3s/edit?usp=sharing"",""กำแพงเพชร!I296"")+IMPORTRANGE(""https://docs.google.com/spreadsheets/d/1KS0zmDSZPk8KnTAbGN-Xk6MtX1YRZD0ldgdt20K4CRk/edit?usp=sharing"","&amp;"""เชียงราย!I296"")+IMPORTRANGE(""https://docs.google.com/spreadsheets/d/1rEDxBtusbi64tE0zunoIbsTVV16HeL0oJ6trHQeQ7K8/edit?usp=sharing"",""เชียงใหม่!I296"")+IMPORTRANGE(""https://docs.google.com/spreadsheets/d/1W6MnUbDkMi6xHnHko_XkFDO9kkuL6Wqyc-6OCDFjW9I/e"&amp;"dit?usp=sharing"",""ตาก!I296"")+IMPORTRANGE(""https://docs.google.com/spreadsheets/d/1IQAWArduLkta9LpYo4a_ULsyqdta6-6aDDiwpUnQT6c/edit?usp=sharing"",""นครสวรรค์!I296"")+IMPORTRANGE(""https://docs.google.com/spreadsheets/d/10s13Sk5xrltsiR-Zkbmk5DwIaDIKO8Xl"&amp;"bJAfqyT7Gvg/edit?usp=sharing"",""น่าน!I296"")+IMPORTRANGE(""https://docs.google.com/spreadsheets/d/1uu4nAn4Dbi1XREnLKKotUANlKXa7yCgRcgq8HEzQYW8/edit?usp=sharing"",""พะเยา!I296"")+IMPORTRANGE(""https://docs.google.com/spreadsheets/d/1xfJKIQxVOaPDIICqsflNlL"&amp;"u3JacTDk1FP9RH4phX7mI/edit?usp=sharing"",""พิจิตร!I296"")+IMPORTRANGE(""https://docs.google.com/spreadsheets/d/1JtRfZkJMHtEhI5RdRHxYUG4FIZHqKDpNyIuN7A1Q0_k/edit?usp=sharing"",""พิษณุโลก!I296"")+IMPORTRANGE(""https://docs.google.com/spreadsheets/d/1xlcVZWU"&amp;"Nn6SuWm0c307h32SiGkd9BaeQWlAktfD3KO8/edit?usp=sharing"",""เพชรบูรณ์!I296"")+IMPORTRANGE(""https://docs.google.com/spreadsheets/d/1lOVebEIsI9qjGXl6EX66luk7wiuP2tBaryw-wKvv4e0/edit?usp=sharing"",""แพร่!I296"")+IMPORTRANGE(""https://docs.google.com/spreadshe"&amp;"ets/d/1dQrvX0vEcN7Gu0fnZ0B5S90AeR19zth4XlExFBeExMY/edit?usp=sharing"",""แม่ฮ่องสอน!I296"")+IMPORTRANGE(""https://docs.google.com/spreadsheets/d/1DY4XTNNwjluuxqdfdn6qvOSlMRrZqUtmYcZR0ttFiG4/edit?usp=sharing"",""ลำปาง!I296"")+IMPORTRANGE(""https://docs.goog"&amp;"le.com/spreadsheets/d/1ICwG78r0OFT8biBlxnBF8r7she7gNSzOvJ958PWT09c/edit?usp=sharing"",""ลำพูน!I296"")+IMPORTRANGE(""https://docs.google.com/spreadsheets/d/1B0f2xJpZUC6Z0xXnqKlZtEPzsf6L84eP1r1Q15seqRM/edit?usp=sharing"",""สุโขทัย!I296"")+IMPORTRANGE(""http"&amp;"s://docs.google.com/spreadsheets/d/1v0b9pFQCsKUVExMei7AgY2yQkdeNQvtOssygGsXbiKo/edit?usp=sharing"",""อุตรดิตถ์!I296"")+IMPORTRANGE(""https://docs.google.com/spreadsheets/d/1UsNK1e-WWiCo2PvGqdNfdme4m17_Ezd3J69EeeiQPD0/edit?usp=sharing"",""อุทัยธานี!I296"")"),410)</f>
        <v>410</v>
      </c>
      <c r="J296" s="181">
        <f ca="1">IFERROR(__xludf.DUMMYFUNCTION("IMPORTRANGE(""https://docs.google.com/spreadsheets/d/1jTcq05yEiRwXcBMLjiodW9e4biSGYWAHcDj22rKWQ3s/edit?usp=sharing"",""กำแพงเพชร!J296"")+IMPORTRANGE(""https://docs.google.com/spreadsheets/d/1KS0zmDSZPk8KnTAbGN-Xk6MtX1YRZD0ldgdt20K4CRk/edit?usp=sharing"","&amp;"""เชียงราย!J296"")+IMPORTRANGE(""https://docs.google.com/spreadsheets/d/1rEDxBtusbi64tE0zunoIbsTVV16HeL0oJ6trHQeQ7K8/edit?usp=sharing"",""เชียงใหม่!J296"")+IMPORTRANGE(""https://docs.google.com/spreadsheets/d/1W6MnUbDkMi6xHnHko_XkFDO9kkuL6Wqyc-6OCDFjW9I/e"&amp;"dit?usp=sharing"",""ตาก!J296"")+IMPORTRANGE(""https://docs.google.com/spreadsheets/d/1IQAWArduLkta9LpYo4a_ULsyqdta6-6aDDiwpUnQT6c/edit?usp=sharing"",""นครสวรรค์!J296"")+IMPORTRANGE(""https://docs.google.com/spreadsheets/d/10s13Sk5xrltsiR-Zkbmk5DwIaDIKO8Xl"&amp;"bJAfqyT7Gvg/edit?usp=sharing"",""น่าน!J296"")+IMPORTRANGE(""https://docs.google.com/spreadsheets/d/1uu4nAn4Dbi1XREnLKKotUANlKXa7yCgRcgq8HEzQYW8/edit?usp=sharing"",""พะเยา!J296"")+IMPORTRANGE(""https://docs.google.com/spreadsheets/d/1xfJKIQxVOaPDIICqsflNlL"&amp;"u3JacTDk1FP9RH4phX7mI/edit?usp=sharing"",""พิจิตร!J296"")+IMPORTRANGE(""https://docs.google.com/spreadsheets/d/1JtRfZkJMHtEhI5RdRHxYUG4FIZHqKDpNyIuN7A1Q0_k/edit?usp=sharing"",""พิษณุโลก!J296"")+IMPORTRANGE(""https://docs.google.com/spreadsheets/d/1xlcVZWU"&amp;"Nn6SuWm0c307h32SiGkd9BaeQWlAktfD3KO8/edit?usp=sharing"",""เพชรบูรณ์!J296"")+IMPORTRANGE(""https://docs.google.com/spreadsheets/d/1lOVebEIsI9qjGXl6EX66luk7wiuP2tBaryw-wKvv4e0/edit?usp=sharing"",""แพร่!J296"")+IMPORTRANGE(""https://docs.google.com/spreadshe"&amp;"ets/d/1dQrvX0vEcN7Gu0fnZ0B5S90AeR19zth4XlExFBeExMY/edit?usp=sharing"",""แม่ฮ่องสอน!J296"")+IMPORTRANGE(""https://docs.google.com/spreadsheets/d/1DY4XTNNwjluuxqdfdn6qvOSlMRrZqUtmYcZR0ttFiG4/edit?usp=sharing"",""ลำปาง!J296"")+IMPORTRANGE(""https://docs.goog"&amp;"le.com/spreadsheets/d/1ICwG78r0OFT8biBlxnBF8r7she7gNSzOvJ958PWT09c/edit?usp=sharing"",""ลำพูน!J296"")+IMPORTRANGE(""https://docs.google.com/spreadsheets/d/1B0f2xJpZUC6Z0xXnqKlZtEPzsf6L84eP1r1Q15seqRM/edit?usp=sharing"",""สุโขทัย!J296"")+IMPORTRANGE(""http"&amp;"s://docs.google.com/spreadsheets/d/1v0b9pFQCsKUVExMei7AgY2yQkdeNQvtOssygGsXbiKo/edit?usp=sharing"",""อุตรดิตถ์!J296"")+IMPORTRANGE(""https://docs.google.com/spreadsheets/d/1UsNK1e-WWiCo2PvGqdNfdme4m17_Ezd3J69EeeiQPD0/edit?usp=sharing"",""อุทัยธานี!J296"")"),130)</f>
        <v>130</v>
      </c>
      <c r="K296" s="182">
        <f t="shared" ca="1" si="128"/>
        <v>31.707317073170731</v>
      </c>
      <c r="L296" s="165"/>
      <c r="M296" s="165"/>
      <c r="N296" s="165"/>
      <c r="O296" s="165"/>
      <c r="P296" s="165"/>
    </row>
    <row r="297" spans="1:16" ht="19.5" hidden="1" x14ac:dyDescent="0.3">
      <c r="A297" s="335"/>
      <c r="B297" s="211"/>
      <c r="C297" s="211"/>
      <c r="D297" s="17"/>
      <c r="E297" s="210"/>
      <c r="F297" s="17"/>
      <c r="G297" s="20"/>
      <c r="H297" s="20"/>
      <c r="I297" s="22"/>
      <c r="J297" s="22"/>
      <c r="K297" s="23"/>
      <c r="L297" s="23"/>
      <c r="M297" s="23"/>
      <c r="N297" s="23"/>
      <c r="O297" s="23"/>
      <c r="P297" s="23"/>
    </row>
    <row r="298" spans="1:16" ht="18.75" hidden="1" x14ac:dyDescent="0.25">
      <c r="A298" s="335"/>
      <c r="B298" s="211"/>
      <c r="C298" s="211"/>
      <c r="D298" s="17"/>
      <c r="E298" s="25"/>
      <c r="F298" s="17"/>
      <c r="G298" s="20"/>
      <c r="H298" s="26"/>
      <c r="I298" s="212"/>
      <c r="J298" s="212"/>
      <c r="K298" s="27"/>
      <c r="L298" s="23"/>
      <c r="M298" s="23"/>
      <c r="N298" s="23"/>
      <c r="O298" s="23"/>
      <c r="P298" s="23"/>
    </row>
    <row r="299" spans="1:16" ht="18.75" hidden="1" x14ac:dyDescent="0.25">
      <c r="A299" s="369"/>
      <c r="B299" s="370"/>
      <c r="C299" s="370"/>
      <c r="D299" s="371"/>
      <c r="E299" s="372"/>
      <c r="F299" s="371"/>
      <c r="G299" s="373"/>
      <c r="H299" s="374"/>
      <c r="I299" s="375"/>
      <c r="J299" s="375"/>
      <c r="K299" s="376"/>
      <c r="L299" s="377"/>
      <c r="M299" s="377"/>
      <c r="N299" s="377"/>
      <c r="O299" s="377"/>
      <c r="P299" s="377"/>
    </row>
    <row r="300" spans="1:16" ht="19.5" x14ac:dyDescent="0.3">
      <c r="A300" s="378" t="s">
        <v>118</v>
      </c>
      <c r="B300" s="379"/>
      <c r="C300" s="379"/>
      <c r="D300" s="379"/>
      <c r="E300" s="380"/>
      <c r="F300" s="380"/>
      <c r="G300" s="380"/>
      <c r="H300" s="380"/>
      <c r="I300" s="381"/>
      <c r="J300" s="381"/>
      <c r="K300" s="382"/>
      <c r="L300" s="382"/>
      <c r="M300" s="382"/>
      <c r="N300" s="382"/>
      <c r="O300" s="382"/>
      <c r="P300" s="383"/>
    </row>
    <row r="301" spans="1:16" ht="19.5" x14ac:dyDescent="0.3">
      <c r="A301" s="384" t="s">
        <v>119</v>
      </c>
      <c r="B301" s="385"/>
      <c r="C301" s="385"/>
      <c r="D301" s="386"/>
      <c r="E301" s="386"/>
      <c r="F301" s="386"/>
      <c r="G301" s="387"/>
      <c r="H301" s="387"/>
      <c r="I301" s="388"/>
      <c r="J301" s="388"/>
      <c r="K301" s="389"/>
      <c r="L301" s="389"/>
      <c r="M301" s="389"/>
      <c r="N301" s="389"/>
      <c r="O301" s="389"/>
      <c r="P301" s="389"/>
    </row>
    <row r="302" spans="1:16" ht="19.5" x14ac:dyDescent="0.3">
      <c r="A302" s="390"/>
      <c r="B302" s="391" t="s">
        <v>120</v>
      </c>
      <c r="C302" s="392"/>
      <c r="D302" s="392"/>
      <c r="E302" s="392"/>
      <c r="F302" s="392"/>
      <c r="G302" s="393"/>
      <c r="H302" s="394" t="s">
        <v>33</v>
      </c>
      <c r="I302" s="395">
        <f t="shared" ref="I302:J302" ca="1" si="129">I314</f>
        <v>190</v>
      </c>
      <c r="J302" s="395">
        <f t="shared" ca="1" si="129"/>
        <v>65</v>
      </c>
      <c r="K302" s="396">
        <f ca="1">IF(I302&gt;0,J302*100/I302,0)</f>
        <v>34.210526315789473</v>
      </c>
      <c r="L302" s="397"/>
      <c r="M302" s="397"/>
      <c r="N302" s="397"/>
      <c r="O302" s="397"/>
      <c r="P302" s="397"/>
    </row>
    <row r="303" spans="1:16" ht="19.5" x14ac:dyDescent="0.3">
      <c r="A303" s="157"/>
      <c r="B303" s="53"/>
      <c r="C303" s="158" t="s">
        <v>16</v>
      </c>
      <c r="D303" s="159" t="s">
        <v>17</v>
      </c>
      <c r="E303" s="53"/>
      <c r="F303" s="53"/>
      <c r="G303" s="55"/>
      <c r="H303" s="160" t="s">
        <v>12</v>
      </c>
      <c r="I303" s="57"/>
      <c r="J303" s="57"/>
      <c r="K303" s="58"/>
      <c r="L303" s="161">
        <f t="shared" ref="L303:N303" ca="1" si="130">L304+L305</f>
        <v>1749700</v>
      </c>
      <c r="M303" s="161">
        <f t="shared" ca="1" si="130"/>
        <v>1301300</v>
      </c>
      <c r="N303" s="161">
        <f t="shared" ca="1" si="130"/>
        <v>383717.8</v>
      </c>
      <c r="O303" s="161">
        <f t="shared" ref="O303:O311" ca="1" si="131">IF(L303&gt;0,N303*100/L303,0)</f>
        <v>21.930490941304225</v>
      </c>
      <c r="P303" s="161">
        <f t="shared" ref="P303:P311" ca="1" si="132">IF(M303&gt;0,N303*100/M303,0)</f>
        <v>29.487266579574271</v>
      </c>
    </row>
    <row r="304" spans="1:16" ht="18.75" x14ac:dyDescent="0.25">
      <c r="A304" s="157"/>
      <c r="B304" s="53"/>
      <c r="C304" s="53"/>
      <c r="D304" s="53"/>
      <c r="E304" s="60" t="s">
        <v>18</v>
      </c>
      <c r="F304" s="53"/>
      <c r="G304" s="55"/>
      <c r="H304" s="162" t="s">
        <v>12</v>
      </c>
      <c r="I304" s="57"/>
      <c r="J304" s="57"/>
      <c r="K304" s="58"/>
      <c r="L304" s="59">
        <f t="shared" ref="L304:N304" ca="1" si="133">L307+L310</f>
        <v>0</v>
      </c>
      <c r="M304" s="59">
        <f t="shared" ca="1" si="133"/>
        <v>0</v>
      </c>
      <c r="N304" s="59">
        <f t="shared" ca="1" si="133"/>
        <v>0</v>
      </c>
      <c r="O304" s="59">
        <f t="shared" ca="1" si="131"/>
        <v>0</v>
      </c>
      <c r="P304" s="59">
        <f t="shared" ca="1" si="132"/>
        <v>0</v>
      </c>
    </row>
    <row r="305" spans="1:16" ht="18.75" x14ac:dyDescent="0.25">
      <c r="A305" s="157"/>
      <c r="B305" s="53"/>
      <c r="C305" s="53"/>
      <c r="D305" s="53"/>
      <c r="E305" s="60" t="s">
        <v>19</v>
      </c>
      <c r="F305" s="53"/>
      <c r="G305" s="55"/>
      <c r="H305" s="162" t="s">
        <v>12</v>
      </c>
      <c r="I305" s="57"/>
      <c r="J305" s="57"/>
      <c r="K305" s="58"/>
      <c r="L305" s="59">
        <f t="shared" ref="L305:N305" ca="1" si="134">L308+L311</f>
        <v>1749700</v>
      </c>
      <c r="M305" s="59">
        <f t="shared" ca="1" si="134"/>
        <v>1301300</v>
      </c>
      <c r="N305" s="59">
        <f t="shared" ca="1" si="134"/>
        <v>383717.8</v>
      </c>
      <c r="O305" s="59">
        <f t="shared" ca="1" si="131"/>
        <v>21.930490941304225</v>
      </c>
      <c r="P305" s="59">
        <f t="shared" ca="1" si="132"/>
        <v>29.487266579574271</v>
      </c>
    </row>
    <row r="306" spans="1:16" ht="18.75" x14ac:dyDescent="0.25">
      <c r="A306" s="157"/>
      <c r="B306" s="53"/>
      <c r="C306" s="53"/>
      <c r="D306" s="54" t="s">
        <v>20</v>
      </c>
      <c r="E306" s="53"/>
      <c r="F306" s="53"/>
      <c r="G306" s="55"/>
      <c r="H306" s="163" t="s">
        <v>12</v>
      </c>
      <c r="I306" s="164"/>
      <c r="J306" s="164"/>
      <c r="K306" s="165"/>
      <c r="L306" s="59">
        <f t="shared" ref="L306:N306" ca="1" si="135">L307+L308</f>
        <v>1749700</v>
      </c>
      <c r="M306" s="59">
        <f t="shared" ca="1" si="135"/>
        <v>1301300</v>
      </c>
      <c r="N306" s="59">
        <f t="shared" ca="1" si="135"/>
        <v>383717.8</v>
      </c>
      <c r="O306" s="59">
        <f t="shared" ca="1" si="131"/>
        <v>21.930490941304225</v>
      </c>
      <c r="P306" s="59">
        <f t="shared" ca="1" si="132"/>
        <v>29.487266579574271</v>
      </c>
    </row>
    <row r="307" spans="1:16" ht="18.75" x14ac:dyDescent="0.25">
      <c r="A307" s="157"/>
      <c r="B307" s="53"/>
      <c r="C307" s="53"/>
      <c r="D307" s="53"/>
      <c r="E307" s="60" t="s">
        <v>34</v>
      </c>
      <c r="F307" s="53"/>
      <c r="G307" s="55"/>
      <c r="H307" s="163" t="s">
        <v>12</v>
      </c>
      <c r="I307" s="164"/>
      <c r="J307" s="164"/>
      <c r="K307" s="165"/>
      <c r="L307" s="59">
        <f ca="1">IFERROR(__xludf.DUMMYFUNCTION("IMPORTRANGE(""https://docs.google.com/spreadsheets/d/1jTcq05yEiRwXcBMLjiodW9e4biSGYWAHcDj22rKWQ3s/edit?usp=sharing"",""กำแพงเพชร!L307"")+IMPORTRANGE(""https://docs.google.com/spreadsheets/d/1KS0zmDSZPk8KnTAbGN-Xk6MtX1YRZD0ldgdt20K4CRk/edit?usp=sharing"","&amp;"""เชียงราย!L307"")+IMPORTRANGE(""https://docs.google.com/spreadsheets/d/1rEDxBtusbi64tE0zunoIbsTVV16HeL0oJ6trHQeQ7K8/edit?usp=sharing"",""เชียงใหม่!L307"")+IMPORTRANGE(""https://docs.google.com/spreadsheets/d/1W6MnUbDkMi6xHnHko_XkFDO9kkuL6Wqyc-6OCDFjW9I/e"&amp;"dit?usp=sharing"",""ตาก!L307"")+IMPORTRANGE(""https://docs.google.com/spreadsheets/d/1IQAWArduLkta9LpYo4a_ULsyqdta6-6aDDiwpUnQT6c/edit?usp=sharing"",""นครสวรรค์!L307"")+IMPORTRANGE(""https://docs.google.com/spreadsheets/d/10s13Sk5xrltsiR-Zkbmk5DwIaDIKO8Xl"&amp;"bJAfqyT7Gvg/edit?usp=sharing"",""น่าน!L307"")+IMPORTRANGE(""https://docs.google.com/spreadsheets/d/1uu4nAn4Dbi1XREnLKKotUANlKXa7yCgRcgq8HEzQYW8/edit?usp=sharing"",""พะเยา!L307"")+IMPORTRANGE(""https://docs.google.com/spreadsheets/d/1xfJKIQxVOaPDIICqsflNlL"&amp;"u3JacTDk1FP9RH4phX7mI/edit?usp=sharing"",""พิจิตร!L307"")+IMPORTRANGE(""https://docs.google.com/spreadsheets/d/1JtRfZkJMHtEhI5RdRHxYUG4FIZHqKDpNyIuN7A1Q0_k/edit?usp=sharing"",""พิษณุโลก!L307"")+IMPORTRANGE(""https://docs.google.com/spreadsheets/d/1xlcVZWU"&amp;"Nn6SuWm0c307h32SiGkd9BaeQWlAktfD3KO8/edit?usp=sharing"",""เพชรบูรณ์!L307"")+IMPORTRANGE(""https://docs.google.com/spreadsheets/d/1lOVebEIsI9qjGXl6EX66luk7wiuP2tBaryw-wKvv4e0/edit?usp=sharing"",""แพร่!L307"")+IMPORTRANGE(""https://docs.google.com/spreadshe"&amp;"ets/d/1dQrvX0vEcN7Gu0fnZ0B5S90AeR19zth4XlExFBeExMY/edit?usp=sharing"",""แม่ฮ่องสอน!L307"")+IMPORTRANGE(""https://docs.google.com/spreadsheets/d/1DY4XTNNwjluuxqdfdn6qvOSlMRrZqUtmYcZR0ttFiG4/edit?usp=sharing"",""ลำปาง!L307"")+IMPORTRANGE(""https://docs.goog"&amp;"le.com/spreadsheets/d/1ICwG78r0OFT8biBlxnBF8r7she7gNSzOvJ958PWT09c/edit?usp=sharing"",""ลำพูน!L307"")+IMPORTRANGE(""https://docs.google.com/spreadsheets/d/1B0f2xJpZUC6Z0xXnqKlZtEPzsf6L84eP1r1Q15seqRM/edit?usp=sharing"",""สุโขทัย!L307"")+IMPORTRANGE(""http"&amp;"s://docs.google.com/spreadsheets/d/1v0b9pFQCsKUVExMei7AgY2yQkdeNQvtOssygGsXbiKo/edit?usp=sharing"",""อุตรดิตถ์!L307"")+IMPORTRANGE(""https://docs.google.com/spreadsheets/d/1UsNK1e-WWiCo2PvGqdNfdme4m17_Ezd3J69EeeiQPD0/edit?usp=sharing"",""อุทัยธานี!L307"")"),0)</f>
        <v>0</v>
      </c>
      <c r="M307" s="59">
        <f ca="1">IFERROR(__xludf.DUMMYFUNCTION("IMPORTRANGE(""https://docs.google.com/spreadsheets/d/1jTcq05yEiRwXcBMLjiodW9e4biSGYWAHcDj22rKWQ3s/edit?usp=sharing"",""กำแพงเพชร!M307"")+IMPORTRANGE(""https://docs.google.com/spreadsheets/d/1KS0zmDSZPk8KnTAbGN-Xk6MtX1YRZD0ldgdt20K4CRk/edit?usp=sharing"","&amp;"""เชียงราย!M307"")+IMPORTRANGE(""https://docs.google.com/spreadsheets/d/1rEDxBtusbi64tE0zunoIbsTVV16HeL0oJ6trHQeQ7K8/edit?usp=sharing"",""เชียงใหม่!M307"")+IMPORTRANGE(""https://docs.google.com/spreadsheets/d/1W6MnUbDkMi6xHnHko_XkFDO9kkuL6Wqyc-6OCDFjW9I/e"&amp;"dit?usp=sharing"",""ตาก!M307"")+IMPORTRANGE(""https://docs.google.com/spreadsheets/d/1IQAWArduLkta9LpYo4a_ULsyqdta6-6aDDiwpUnQT6c/edit?usp=sharing"",""นครสวรรค์!M307"")+IMPORTRANGE(""https://docs.google.com/spreadsheets/d/10s13Sk5xrltsiR-Zkbmk5DwIaDIKO8Xl"&amp;"bJAfqyT7Gvg/edit?usp=sharing"",""น่าน!M307"")+IMPORTRANGE(""https://docs.google.com/spreadsheets/d/1uu4nAn4Dbi1XREnLKKotUANlKXa7yCgRcgq8HEzQYW8/edit?usp=sharing"",""พะเยา!M307"")+IMPORTRANGE(""https://docs.google.com/spreadsheets/d/1xfJKIQxVOaPDIICqsflNlL"&amp;"u3JacTDk1FP9RH4phX7mI/edit?usp=sharing"",""พิจิตร!M307"")+IMPORTRANGE(""https://docs.google.com/spreadsheets/d/1JtRfZkJMHtEhI5RdRHxYUG4FIZHqKDpNyIuN7A1Q0_k/edit?usp=sharing"",""พิษณุโลก!M307"")+IMPORTRANGE(""https://docs.google.com/spreadsheets/d/1xlcVZWU"&amp;"Nn6SuWm0c307h32SiGkd9BaeQWlAktfD3KO8/edit?usp=sharing"",""เพชรบูรณ์!M307"")+IMPORTRANGE(""https://docs.google.com/spreadsheets/d/1lOVebEIsI9qjGXl6EX66luk7wiuP2tBaryw-wKvv4e0/edit?usp=sharing"",""แพร่!M307"")+IMPORTRANGE(""https://docs.google.com/spreadshe"&amp;"ets/d/1dQrvX0vEcN7Gu0fnZ0B5S90AeR19zth4XlExFBeExMY/edit?usp=sharing"",""แม่ฮ่องสอน!M307"")+IMPORTRANGE(""https://docs.google.com/spreadsheets/d/1DY4XTNNwjluuxqdfdn6qvOSlMRrZqUtmYcZR0ttFiG4/edit?usp=sharing"",""ลำปาง!M307"")+IMPORTRANGE(""https://docs.goog"&amp;"le.com/spreadsheets/d/1ICwG78r0OFT8biBlxnBF8r7she7gNSzOvJ958PWT09c/edit?usp=sharing"",""ลำพูน!M307"")+IMPORTRANGE(""https://docs.google.com/spreadsheets/d/1B0f2xJpZUC6Z0xXnqKlZtEPzsf6L84eP1r1Q15seqRM/edit?usp=sharing"",""สุโขทัย!M307"")+IMPORTRANGE(""http"&amp;"s://docs.google.com/spreadsheets/d/1v0b9pFQCsKUVExMei7AgY2yQkdeNQvtOssygGsXbiKo/edit?usp=sharing"",""อุตรดิตถ์!M307"")+IMPORTRANGE(""https://docs.google.com/spreadsheets/d/1UsNK1e-WWiCo2PvGqdNfdme4m17_Ezd3J69EeeiQPD0/edit?usp=sharing"",""อุทัยธานี!M307"")"),0)</f>
        <v>0</v>
      </c>
      <c r="N307" s="59">
        <f ca="1">IFERROR(__xludf.DUMMYFUNCTION("IMPORTRANGE(""https://docs.google.com/spreadsheets/d/1jTcq05yEiRwXcBMLjiodW9e4biSGYWAHcDj22rKWQ3s/edit?usp=sharing"",""กำแพงเพชร!N307"")+IMPORTRANGE(""https://docs.google.com/spreadsheets/d/1KS0zmDSZPk8KnTAbGN-Xk6MtX1YRZD0ldgdt20K4CRk/edit?usp=sharing"","&amp;"""เชียงราย!N307"")+IMPORTRANGE(""https://docs.google.com/spreadsheets/d/1rEDxBtusbi64tE0zunoIbsTVV16HeL0oJ6trHQeQ7K8/edit?usp=sharing"",""เชียงใหม่!N307"")+IMPORTRANGE(""https://docs.google.com/spreadsheets/d/1W6MnUbDkMi6xHnHko_XkFDO9kkuL6Wqyc-6OCDFjW9I/e"&amp;"dit?usp=sharing"",""ตาก!N307"")+IMPORTRANGE(""https://docs.google.com/spreadsheets/d/1IQAWArduLkta9LpYo4a_ULsyqdta6-6aDDiwpUnQT6c/edit?usp=sharing"",""นครสวรรค์!N307"")+IMPORTRANGE(""https://docs.google.com/spreadsheets/d/10s13Sk5xrltsiR-Zkbmk5DwIaDIKO8Xl"&amp;"bJAfqyT7Gvg/edit?usp=sharing"",""น่าน!N307"")+IMPORTRANGE(""https://docs.google.com/spreadsheets/d/1uu4nAn4Dbi1XREnLKKotUANlKXa7yCgRcgq8HEzQYW8/edit?usp=sharing"",""พะเยา!N307"")+IMPORTRANGE(""https://docs.google.com/spreadsheets/d/1xfJKIQxVOaPDIICqsflNlL"&amp;"u3JacTDk1FP9RH4phX7mI/edit?usp=sharing"",""พิจิตร!N307"")+IMPORTRANGE(""https://docs.google.com/spreadsheets/d/1JtRfZkJMHtEhI5RdRHxYUG4FIZHqKDpNyIuN7A1Q0_k/edit?usp=sharing"",""พิษณุโลก!N307"")+IMPORTRANGE(""https://docs.google.com/spreadsheets/d/1xlcVZWU"&amp;"Nn6SuWm0c307h32SiGkd9BaeQWlAktfD3KO8/edit?usp=sharing"",""เพชรบูรณ์!N307"")+IMPORTRANGE(""https://docs.google.com/spreadsheets/d/1lOVebEIsI9qjGXl6EX66luk7wiuP2tBaryw-wKvv4e0/edit?usp=sharing"",""แพร่!N307"")+IMPORTRANGE(""https://docs.google.com/spreadshe"&amp;"ets/d/1dQrvX0vEcN7Gu0fnZ0B5S90AeR19zth4XlExFBeExMY/edit?usp=sharing"",""แม่ฮ่องสอน!N307"")+IMPORTRANGE(""https://docs.google.com/spreadsheets/d/1DY4XTNNwjluuxqdfdn6qvOSlMRrZqUtmYcZR0ttFiG4/edit?usp=sharing"",""ลำปาง!N307"")+IMPORTRANGE(""https://docs.goog"&amp;"le.com/spreadsheets/d/1ICwG78r0OFT8biBlxnBF8r7she7gNSzOvJ958PWT09c/edit?usp=sharing"",""ลำพูน!N307"")+IMPORTRANGE(""https://docs.google.com/spreadsheets/d/1B0f2xJpZUC6Z0xXnqKlZtEPzsf6L84eP1r1Q15seqRM/edit?usp=sharing"",""สุโขทัย!N307"")+IMPORTRANGE(""http"&amp;"s://docs.google.com/spreadsheets/d/1v0b9pFQCsKUVExMei7AgY2yQkdeNQvtOssygGsXbiKo/edit?usp=sharing"",""อุตรดิตถ์!N307"")+IMPORTRANGE(""https://docs.google.com/spreadsheets/d/1UsNK1e-WWiCo2PvGqdNfdme4m17_Ezd3J69EeeiQPD0/edit?usp=sharing"",""อุทัยธานี!N307"")"),0)</f>
        <v>0</v>
      </c>
      <c r="O307" s="59">
        <f t="shared" ca="1" si="131"/>
        <v>0</v>
      </c>
      <c r="P307" s="59">
        <f t="shared" ca="1" si="132"/>
        <v>0</v>
      </c>
    </row>
    <row r="308" spans="1:16" ht="18.75" x14ac:dyDescent="0.25">
      <c r="A308" s="157"/>
      <c r="B308" s="53"/>
      <c r="C308" s="53"/>
      <c r="D308" s="53"/>
      <c r="E308" s="60" t="s">
        <v>35</v>
      </c>
      <c r="F308" s="53"/>
      <c r="G308" s="55"/>
      <c r="H308" s="163" t="s">
        <v>12</v>
      </c>
      <c r="I308" s="164"/>
      <c r="J308" s="164"/>
      <c r="K308" s="165"/>
      <c r="L308" s="59">
        <f ca="1">IFERROR(__xludf.DUMMYFUNCTION("IMPORTRANGE(""https://docs.google.com/spreadsheets/d/1jTcq05yEiRwXcBMLjiodW9e4biSGYWAHcDj22rKWQ3s/edit?usp=sharing"",""กำแพงเพชร!L308"")+IMPORTRANGE(""https://docs.google.com/spreadsheets/d/1KS0zmDSZPk8KnTAbGN-Xk6MtX1YRZD0ldgdt20K4CRk/edit?usp=sharing"","&amp;"""เชียงราย!L308"")+IMPORTRANGE(""https://docs.google.com/spreadsheets/d/1rEDxBtusbi64tE0zunoIbsTVV16HeL0oJ6trHQeQ7K8/edit?usp=sharing"",""เชียงใหม่!L308"")+IMPORTRANGE(""https://docs.google.com/spreadsheets/d/1W6MnUbDkMi6xHnHko_XkFDO9kkuL6Wqyc-6OCDFjW9I/e"&amp;"dit?usp=sharing"",""ตาก!L308"")+IMPORTRANGE(""https://docs.google.com/spreadsheets/d/1IQAWArduLkta9LpYo4a_ULsyqdta6-6aDDiwpUnQT6c/edit?usp=sharing"",""นครสวรรค์!L308"")+IMPORTRANGE(""https://docs.google.com/spreadsheets/d/10s13Sk5xrltsiR-Zkbmk5DwIaDIKO8Xl"&amp;"bJAfqyT7Gvg/edit?usp=sharing"",""น่าน!L308"")+IMPORTRANGE(""https://docs.google.com/spreadsheets/d/1uu4nAn4Dbi1XREnLKKotUANlKXa7yCgRcgq8HEzQYW8/edit?usp=sharing"",""พะเยา!L308"")+IMPORTRANGE(""https://docs.google.com/spreadsheets/d/1xfJKIQxVOaPDIICqsflNlL"&amp;"u3JacTDk1FP9RH4phX7mI/edit?usp=sharing"",""พิจิตร!L308"")+IMPORTRANGE(""https://docs.google.com/spreadsheets/d/1JtRfZkJMHtEhI5RdRHxYUG4FIZHqKDpNyIuN7A1Q0_k/edit?usp=sharing"",""พิษณุโลก!L308"")+IMPORTRANGE(""https://docs.google.com/spreadsheets/d/1xlcVZWU"&amp;"Nn6SuWm0c307h32SiGkd9BaeQWlAktfD3KO8/edit?usp=sharing"",""เพชรบูรณ์!L308"")+IMPORTRANGE(""https://docs.google.com/spreadsheets/d/1lOVebEIsI9qjGXl6EX66luk7wiuP2tBaryw-wKvv4e0/edit?usp=sharing"",""แพร่!L308"")+IMPORTRANGE(""https://docs.google.com/spreadshe"&amp;"ets/d/1dQrvX0vEcN7Gu0fnZ0B5S90AeR19zth4XlExFBeExMY/edit?usp=sharing"",""แม่ฮ่องสอน!L308"")+IMPORTRANGE(""https://docs.google.com/spreadsheets/d/1DY4XTNNwjluuxqdfdn6qvOSlMRrZqUtmYcZR0ttFiG4/edit?usp=sharing"",""ลำปาง!L308"")+IMPORTRANGE(""https://docs.goog"&amp;"le.com/spreadsheets/d/1ICwG78r0OFT8biBlxnBF8r7she7gNSzOvJ958PWT09c/edit?usp=sharing"",""ลำพูน!L308"")+IMPORTRANGE(""https://docs.google.com/spreadsheets/d/1B0f2xJpZUC6Z0xXnqKlZtEPzsf6L84eP1r1Q15seqRM/edit?usp=sharing"",""สุโขทัย!L308"")+IMPORTRANGE(""http"&amp;"s://docs.google.com/spreadsheets/d/1v0b9pFQCsKUVExMei7AgY2yQkdeNQvtOssygGsXbiKo/edit?usp=sharing"",""อุตรดิตถ์!L308"")+IMPORTRANGE(""https://docs.google.com/spreadsheets/d/1UsNK1e-WWiCo2PvGqdNfdme4m17_Ezd3J69EeeiQPD0/edit?usp=sharing"",""อุทัยธานี!L308"")"),1749700)</f>
        <v>1749700</v>
      </c>
      <c r="M308" s="59">
        <f ca="1">IFERROR(__xludf.DUMMYFUNCTION("IMPORTRANGE(""https://docs.google.com/spreadsheets/d/1jTcq05yEiRwXcBMLjiodW9e4biSGYWAHcDj22rKWQ3s/edit?usp=sharing"",""กำแพงเพชร!M308"")+IMPORTRANGE(""https://docs.google.com/spreadsheets/d/1KS0zmDSZPk8KnTAbGN-Xk6MtX1YRZD0ldgdt20K4CRk/edit?usp=sharing"","&amp;"""เชียงราย!M308"")+IMPORTRANGE(""https://docs.google.com/spreadsheets/d/1rEDxBtusbi64tE0zunoIbsTVV16HeL0oJ6trHQeQ7K8/edit?usp=sharing"",""เชียงใหม่!M308"")+IMPORTRANGE(""https://docs.google.com/spreadsheets/d/1W6MnUbDkMi6xHnHko_XkFDO9kkuL6Wqyc-6OCDFjW9I/e"&amp;"dit?usp=sharing"",""ตาก!M308"")+IMPORTRANGE(""https://docs.google.com/spreadsheets/d/1IQAWArduLkta9LpYo4a_ULsyqdta6-6aDDiwpUnQT6c/edit?usp=sharing"",""นครสวรรค์!M308"")+IMPORTRANGE(""https://docs.google.com/spreadsheets/d/10s13Sk5xrltsiR-Zkbmk5DwIaDIKO8Xl"&amp;"bJAfqyT7Gvg/edit?usp=sharing"",""น่าน!M308"")+IMPORTRANGE(""https://docs.google.com/spreadsheets/d/1uu4nAn4Dbi1XREnLKKotUANlKXa7yCgRcgq8HEzQYW8/edit?usp=sharing"",""พะเยา!M308"")+IMPORTRANGE(""https://docs.google.com/spreadsheets/d/1xfJKIQxVOaPDIICqsflNlL"&amp;"u3JacTDk1FP9RH4phX7mI/edit?usp=sharing"",""พิจิตร!M308"")+IMPORTRANGE(""https://docs.google.com/spreadsheets/d/1JtRfZkJMHtEhI5RdRHxYUG4FIZHqKDpNyIuN7A1Q0_k/edit?usp=sharing"",""พิษณุโลก!M308"")+IMPORTRANGE(""https://docs.google.com/spreadsheets/d/1xlcVZWU"&amp;"Nn6SuWm0c307h32SiGkd9BaeQWlAktfD3KO8/edit?usp=sharing"",""เพชรบูรณ์!M308"")+IMPORTRANGE(""https://docs.google.com/spreadsheets/d/1lOVebEIsI9qjGXl6EX66luk7wiuP2tBaryw-wKvv4e0/edit?usp=sharing"",""แพร่!M308"")+IMPORTRANGE(""https://docs.google.com/spreadshe"&amp;"ets/d/1dQrvX0vEcN7Gu0fnZ0B5S90AeR19zth4XlExFBeExMY/edit?usp=sharing"",""แม่ฮ่องสอน!M308"")+IMPORTRANGE(""https://docs.google.com/spreadsheets/d/1DY4XTNNwjluuxqdfdn6qvOSlMRrZqUtmYcZR0ttFiG4/edit?usp=sharing"",""ลำปาง!M308"")+IMPORTRANGE(""https://docs.goog"&amp;"le.com/spreadsheets/d/1ICwG78r0OFT8biBlxnBF8r7she7gNSzOvJ958PWT09c/edit?usp=sharing"",""ลำพูน!M308"")+IMPORTRANGE(""https://docs.google.com/spreadsheets/d/1B0f2xJpZUC6Z0xXnqKlZtEPzsf6L84eP1r1Q15seqRM/edit?usp=sharing"",""สุโขทัย!M308"")+IMPORTRANGE(""http"&amp;"s://docs.google.com/spreadsheets/d/1v0b9pFQCsKUVExMei7AgY2yQkdeNQvtOssygGsXbiKo/edit?usp=sharing"",""อุตรดิตถ์!M308"")+IMPORTRANGE(""https://docs.google.com/spreadsheets/d/1UsNK1e-WWiCo2PvGqdNfdme4m17_Ezd3J69EeeiQPD0/edit?usp=sharing"",""อุทัยธานี!M308"")"),1301300)</f>
        <v>1301300</v>
      </c>
      <c r="N308" s="59">
        <f ca="1">IFERROR(__xludf.DUMMYFUNCTION("IMPORTRANGE(""https://docs.google.com/spreadsheets/d/1jTcq05yEiRwXcBMLjiodW9e4biSGYWAHcDj22rKWQ3s/edit?usp=sharing"",""กำแพงเพชร!N308"")+IMPORTRANGE(""https://docs.google.com/spreadsheets/d/1KS0zmDSZPk8KnTAbGN-Xk6MtX1YRZD0ldgdt20K4CRk/edit?usp=sharing"","&amp;"""เชียงราย!N308"")+IMPORTRANGE(""https://docs.google.com/spreadsheets/d/1rEDxBtusbi64tE0zunoIbsTVV16HeL0oJ6trHQeQ7K8/edit?usp=sharing"",""เชียงใหม่!N308"")+IMPORTRANGE(""https://docs.google.com/spreadsheets/d/1W6MnUbDkMi6xHnHko_XkFDO9kkuL6Wqyc-6OCDFjW9I/e"&amp;"dit?usp=sharing"",""ตาก!N308"")+IMPORTRANGE(""https://docs.google.com/spreadsheets/d/1IQAWArduLkta9LpYo4a_ULsyqdta6-6aDDiwpUnQT6c/edit?usp=sharing"",""นครสวรรค์!N308"")+IMPORTRANGE(""https://docs.google.com/spreadsheets/d/10s13Sk5xrltsiR-Zkbmk5DwIaDIKO8Xl"&amp;"bJAfqyT7Gvg/edit?usp=sharing"",""น่าน!N308"")+IMPORTRANGE(""https://docs.google.com/spreadsheets/d/1uu4nAn4Dbi1XREnLKKotUANlKXa7yCgRcgq8HEzQYW8/edit?usp=sharing"",""พะเยา!N308"")+IMPORTRANGE(""https://docs.google.com/spreadsheets/d/1xfJKIQxVOaPDIICqsflNlL"&amp;"u3JacTDk1FP9RH4phX7mI/edit?usp=sharing"",""พิจิตร!N308"")+IMPORTRANGE(""https://docs.google.com/spreadsheets/d/1JtRfZkJMHtEhI5RdRHxYUG4FIZHqKDpNyIuN7A1Q0_k/edit?usp=sharing"",""พิษณุโลก!N308"")+IMPORTRANGE(""https://docs.google.com/spreadsheets/d/1xlcVZWU"&amp;"Nn6SuWm0c307h32SiGkd9BaeQWlAktfD3KO8/edit?usp=sharing"",""เพชรบูรณ์!N308"")+IMPORTRANGE(""https://docs.google.com/spreadsheets/d/1lOVebEIsI9qjGXl6EX66luk7wiuP2tBaryw-wKvv4e0/edit?usp=sharing"",""แพร่!N308"")+IMPORTRANGE(""https://docs.google.com/spreadshe"&amp;"ets/d/1dQrvX0vEcN7Gu0fnZ0B5S90AeR19zth4XlExFBeExMY/edit?usp=sharing"",""แม่ฮ่องสอน!N308"")+IMPORTRANGE(""https://docs.google.com/spreadsheets/d/1DY4XTNNwjluuxqdfdn6qvOSlMRrZqUtmYcZR0ttFiG4/edit?usp=sharing"",""ลำปาง!N308"")+IMPORTRANGE(""https://docs.goog"&amp;"le.com/spreadsheets/d/1ICwG78r0OFT8biBlxnBF8r7she7gNSzOvJ958PWT09c/edit?usp=sharing"",""ลำพูน!N308"")+IMPORTRANGE(""https://docs.google.com/spreadsheets/d/1B0f2xJpZUC6Z0xXnqKlZtEPzsf6L84eP1r1Q15seqRM/edit?usp=sharing"",""สุโขทัย!N308"")+IMPORTRANGE(""http"&amp;"s://docs.google.com/spreadsheets/d/1v0b9pFQCsKUVExMei7AgY2yQkdeNQvtOssygGsXbiKo/edit?usp=sharing"",""อุตรดิตถ์!N308"")+IMPORTRANGE(""https://docs.google.com/spreadsheets/d/1UsNK1e-WWiCo2PvGqdNfdme4m17_Ezd3J69EeeiQPD0/edit?usp=sharing"",""อุทัยธานี!N308"")"),383717.8)</f>
        <v>383717.8</v>
      </c>
      <c r="O308" s="59">
        <f t="shared" ca="1" si="131"/>
        <v>21.930490941304225</v>
      </c>
      <c r="P308" s="59">
        <f t="shared" ca="1" si="132"/>
        <v>29.487266579574271</v>
      </c>
    </row>
    <row r="309" spans="1:16" ht="18.75" x14ac:dyDescent="0.25">
      <c r="A309" s="157"/>
      <c r="B309" s="53"/>
      <c r="C309" s="53"/>
      <c r="D309" s="54" t="s">
        <v>21</v>
      </c>
      <c r="E309" s="53"/>
      <c r="F309" s="53"/>
      <c r="G309" s="55"/>
      <c r="H309" s="166" t="s">
        <v>12</v>
      </c>
      <c r="I309" s="164"/>
      <c r="J309" s="164"/>
      <c r="K309" s="165"/>
      <c r="L309" s="59">
        <f t="shared" ref="L309:N309" ca="1" si="136">L310+L311</f>
        <v>0</v>
      </c>
      <c r="M309" s="59">
        <f t="shared" ca="1" si="136"/>
        <v>0</v>
      </c>
      <c r="N309" s="59">
        <f t="shared" ca="1" si="136"/>
        <v>0</v>
      </c>
      <c r="O309" s="59">
        <f t="shared" ca="1" si="131"/>
        <v>0</v>
      </c>
      <c r="P309" s="59">
        <f t="shared" ca="1" si="132"/>
        <v>0</v>
      </c>
    </row>
    <row r="310" spans="1:16" ht="18.75" x14ac:dyDescent="0.25">
      <c r="A310" s="157"/>
      <c r="B310" s="53"/>
      <c r="C310" s="53"/>
      <c r="D310" s="53"/>
      <c r="E310" s="60" t="s">
        <v>18</v>
      </c>
      <c r="F310" s="53"/>
      <c r="G310" s="55"/>
      <c r="H310" s="163" t="s">
        <v>12</v>
      </c>
      <c r="I310" s="164"/>
      <c r="J310" s="164"/>
      <c r="K310" s="165"/>
      <c r="L310" s="59">
        <f ca="1">IFERROR(__xludf.DUMMYFUNCTION("IMPORTRANGE(""https://docs.google.com/spreadsheets/d/1jTcq05yEiRwXcBMLjiodW9e4biSGYWAHcDj22rKWQ3s/edit?usp=sharing"",""กำแพงเพชร!L310"")+IMPORTRANGE(""https://docs.google.com/spreadsheets/d/1KS0zmDSZPk8KnTAbGN-Xk6MtX1YRZD0ldgdt20K4CRk/edit?usp=sharing"","&amp;"""เชียงราย!L310"")+IMPORTRANGE(""https://docs.google.com/spreadsheets/d/1rEDxBtusbi64tE0zunoIbsTVV16HeL0oJ6trHQeQ7K8/edit?usp=sharing"",""เชียงใหม่!L310"")+IMPORTRANGE(""https://docs.google.com/spreadsheets/d/1W6MnUbDkMi6xHnHko_XkFDO9kkuL6Wqyc-6OCDFjW9I/e"&amp;"dit?usp=sharing"",""ตาก!L310"")+IMPORTRANGE(""https://docs.google.com/spreadsheets/d/1IQAWArduLkta9LpYo4a_ULsyqdta6-6aDDiwpUnQT6c/edit?usp=sharing"",""นครสวรรค์!L310"")+IMPORTRANGE(""https://docs.google.com/spreadsheets/d/10s13Sk5xrltsiR-Zkbmk5DwIaDIKO8Xl"&amp;"bJAfqyT7Gvg/edit?usp=sharing"",""น่าน!L310"")+IMPORTRANGE(""https://docs.google.com/spreadsheets/d/1uu4nAn4Dbi1XREnLKKotUANlKXa7yCgRcgq8HEzQYW8/edit?usp=sharing"",""พะเยา!L310"")+IMPORTRANGE(""https://docs.google.com/spreadsheets/d/1xfJKIQxVOaPDIICqsflNlL"&amp;"u3JacTDk1FP9RH4phX7mI/edit?usp=sharing"",""พิจิตร!L310"")+IMPORTRANGE(""https://docs.google.com/spreadsheets/d/1JtRfZkJMHtEhI5RdRHxYUG4FIZHqKDpNyIuN7A1Q0_k/edit?usp=sharing"",""พิษณุโลก!L310"")+IMPORTRANGE(""https://docs.google.com/spreadsheets/d/1xlcVZWU"&amp;"Nn6SuWm0c307h32SiGkd9BaeQWlAktfD3KO8/edit?usp=sharing"",""เพชรบูรณ์!L310"")+IMPORTRANGE(""https://docs.google.com/spreadsheets/d/1lOVebEIsI9qjGXl6EX66luk7wiuP2tBaryw-wKvv4e0/edit?usp=sharing"",""แพร่!L310"")+IMPORTRANGE(""https://docs.google.com/spreadshe"&amp;"ets/d/1dQrvX0vEcN7Gu0fnZ0B5S90AeR19zth4XlExFBeExMY/edit?usp=sharing"",""แม่ฮ่องสอน!L310"")+IMPORTRANGE(""https://docs.google.com/spreadsheets/d/1DY4XTNNwjluuxqdfdn6qvOSlMRrZqUtmYcZR0ttFiG4/edit?usp=sharing"",""ลำปาง!L310"")+IMPORTRANGE(""https://docs.goog"&amp;"le.com/spreadsheets/d/1ICwG78r0OFT8biBlxnBF8r7she7gNSzOvJ958PWT09c/edit?usp=sharing"",""ลำพูน!L310"")+IMPORTRANGE(""https://docs.google.com/spreadsheets/d/1B0f2xJpZUC6Z0xXnqKlZtEPzsf6L84eP1r1Q15seqRM/edit?usp=sharing"",""สุโขทัย!L310"")+IMPORTRANGE(""http"&amp;"s://docs.google.com/spreadsheets/d/1v0b9pFQCsKUVExMei7AgY2yQkdeNQvtOssygGsXbiKo/edit?usp=sharing"",""อุตรดิตถ์!L310"")+IMPORTRANGE(""https://docs.google.com/spreadsheets/d/1UsNK1e-WWiCo2PvGqdNfdme4m17_Ezd3J69EeeiQPD0/edit?usp=sharing"",""อุทัยธานี!L310"")"),0)</f>
        <v>0</v>
      </c>
      <c r="M310" s="59">
        <f ca="1">IFERROR(__xludf.DUMMYFUNCTION("IMPORTRANGE(""https://docs.google.com/spreadsheets/d/1jTcq05yEiRwXcBMLjiodW9e4biSGYWAHcDj22rKWQ3s/edit?usp=sharing"",""กำแพงเพชร!M310"")+IMPORTRANGE(""https://docs.google.com/spreadsheets/d/1KS0zmDSZPk8KnTAbGN-Xk6MtX1YRZD0ldgdt20K4CRk/edit?usp=sharing"","&amp;"""เชียงราย!M310"")+IMPORTRANGE(""https://docs.google.com/spreadsheets/d/1rEDxBtusbi64tE0zunoIbsTVV16HeL0oJ6trHQeQ7K8/edit?usp=sharing"",""เชียงใหม่!M310"")+IMPORTRANGE(""https://docs.google.com/spreadsheets/d/1W6MnUbDkMi6xHnHko_XkFDO9kkuL6Wqyc-6OCDFjW9I/e"&amp;"dit?usp=sharing"",""ตาก!M310"")+IMPORTRANGE(""https://docs.google.com/spreadsheets/d/1IQAWArduLkta9LpYo4a_ULsyqdta6-6aDDiwpUnQT6c/edit?usp=sharing"",""นครสวรรค์!M310"")+IMPORTRANGE(""https://docs.google.com/spreadsheets/d/10s13Sk5xrltsiR-Zkbmk5DwIaDIKO8Xl"&amp;"bJAfqyT7Gvg/edit?usp=sharing"",""น่าน!M310"")+IMPORTRANGE(""https://docs.google.com/spreadsheets/d/1uu4nAn4Dbi1XREnLKKotUANlKXa7yCgRcgq8HEzQYW8/edit?usp=sharing"",""พะเยา!M310"")+IMPORTRANGE(""https://docs.google.com/spreadsheets/d/1xfJKIQxVOaPDIICqsflNlL"&amp;"u3JacTDk1FP9RH4phX7mI/edit?usp=sharing"",""พิจิตร!M310"")+IMPORTRANGE(""https://docs.google.com/spreadsheets/d/1JtRfZkJMHtEhI5RdRHxYUG4FIZHqKDpNyIuN7A1Q0_k/edit?usp=sharing"",""พิษณุโลก!M310"")+IMPORTRANGE(""https://docs.google.com/spreadsheets/d/1xlcVZWU"&amp;"Nn6SuWm0c307h32SiGkd9BaeQWlAktfD3KO8/edit?usp=sharing"",""เพชรบูรณ์!M310"")+IMPORTRANGE(""https://docs.google.com/spreadsheets/d/1lOVebEIsI9qjGXl6EX66luk7wiuP2tBaryw-wKvv4e0/edit?usp=sharing"",""แพร่!M310"")+IMPORTRANGE(""https://docs.google.com/spreadshe"&amp;"ets/d/1dQrvX0vEcN7Gu0fnZ0B5S90AeR19zth4XlExFBeExMY/edit?usp=sharing"",""แม่ฮ่องสอน!M310"")+IMPORTRANGE(""https://docs.google.com/spreadsheets/d/1DY4XTNNwjluuxqdfdn6qvOSlMRrZqUtmYcZR0ttFiG4/edit?usp=sharing"",""ลำปาง!M310"")+IMPORTRANGE(""https://docs.goog"&amp;"le.com/spreadsheets/d/1ICwG78r0OFT8biBlxnBF8r7she7gNSzOvJ958PWT09c/edit?usp=sharing"",""ลำพูน!M310"")+IMPORTRANGE(""https://docs.google.com/spreadsheets/d/1B0f2xJpZUC6Z0xXnqKlZtEPzsf6L84eP1r1Q15seqRM/edit?usp=sharing"",""สุโขทัย!M310"")+IMPORTRANGE(""http"&amp;"s://docs.google.com/spreadsheets/d/1v0b9pFQCsKUVExMei7AgY2yQkdeNQvtOssygGsXbiKo/edit?usp=sharing"",""อุตรดิตถ์!M310"")+IMPORTRANGE(""https://docs.google.com/spreadsheets/d/1UsNK1e-WWiCo2PvGqdNfdme4m17_Ezd3J69EeeiQPD0/edit?usp=sharing"",""อุทัยธานี!M310"")"),0)</f>
        <v>0</v>
      </c>
      <c r="N310" s="59">
        <f ca="1">IFERROR(__xludf.DUMMYFUNCTION("IMPORTRANGE(""https://docs.google.com/spreadsheets/d/1jTcq05yEiRwXcBMLjiodW9e4biSGYWAHcDj22rKWQ3s/edit?usp=sharing"",""กำแพงเพชร!N310"")+IMPORTRANGE(""https://docs.google.com/spreadsheets/d/1KS0zmDSZPk8KnTAbGN-Xk6MtX1YRZD0ldgdt20K4CRk/edit?usp=sharing"","&amp;"""เชียงราย!N310"")+IMPORTRANGE(""https://docs.google.com/spreadsheets/d/1rEDxBtusbi64tE0zunoIbsTVV16HeL0oJ6trHQeQ7K8/edit?usp=sharing"",""เชียงใหม่!N310"")+IMPORTRANGE(""https://docs.google.com/spreadsheets/d/1W6MnUbDkMi6xHnHko_XkFDO9kkuL6Wqyc-6OCDFjW9I/e"&amp;"dit?usp=sharing"",""ตาก!N310"")+IMPORTRANGE(""https://docs.google.com/spreadsheets/d/1IQAWArduLkta9LpYo4a_ULsyqdta6-6aDDiwpUnQT6c/edit?usp=sharing"",""นครสวรรค์!N310"")+IMPORTRANGE(""https://docs.google.com/spreadsheets/d/10s13Sk5xrltsiR-Zkbmk5DwIaDIKO8Xl"&amp;"bJAfqyT7Gvg/edit?usp=sharing"",""น่าน!N310"")+IMPORTRANGE(""https://docs.google.com/spreadsheets/d/1uu4nAn4Dbi1XREnLKKotUANlKXa7yCgRcgq8HEzQYW8/edit?usp=sharing"",""พะเยา!N310"")+IMPORTRANGE(""https://docs.google.com/spreadsheets/d/1xfJKIQxVOaPDIICqsflNlL"&amp;"u3JacTDk1FP9RH4phX7mI/edit?usp=sharing"",""พิจิตร!N310"")+IMPORTRANGE(""https://docs.google.com/spreadsheets/d/1JtRfZkJMHtEhI5RdRHxYUG4FIZHqKDpNyIuN7A1Q0_k/edit?usp=sharing"",""พิษณุโลก!N310"")+IMPORTRANGE(""https://docs.google.com/spreadsheets/d/1xlcVZWU"&amp;"Nn6SuWm0c307h32SiGkd9BaeQWlAktfD3KO8/edit?usp=sharing"",""เพชรบูรณ์!N310"")+IMPORTRANGE(""https://docs.google.com/spreadsheets/d/1lOVebEIsI9qjGXl6EX66luk7wiuP2tBaryw-wKvv4e0/edit?usp=sharing"",""แพร่!N310"")+IMPORTRANGE(""https://docs.google.com/spreadshe"&amp;"ets/d/1dQrvX0vEcN7Gu0fnZ0B5S90AeR19zth4XlExFBeExMY/edit?usp=sharing"",""แม่ฮ่องสอน!N310"")+IMPORTRANGE(""https://docs.google.com/spreadsheets/d/1DY4XTNNwjluuxqdfdn6qvOSlMRrZqUtmYcZR0ttFiG4/edit?usp=sharing"",""ลำปาง!N310"")+IMPORTRANGE(""https://docs.goog"&amp;"le.com/spreadsheets/d/1ICwG78r0OFT8biBlxnBF8r7she7gNSzOvJ958PWT09c/edit?usp=sharing"",""ลำพูน!N310"")+IMPORTRANGE(""https://docs.google.com/spreadsheets/d/1B0f2xJpZUC6Z0xXnqKlZtEPzsf6L84eP1r1Q15seqRM/edit?usp=sharing"",""สุโขทัย!N310"")+IMPORTRANGE(""http"&amp;"s://docs.google.com/spreadsheets/d/1v0b9pFQCsKUVExMei7AgY2yQkdeNQvtOssygGsXbiKo/edit?usp=sharing"",""อุตรดิตถ์!N310"")+IMPORTRANGE(""https://docs.google.com/spreadsheets/d/1UsNK1e-WWiCo2PvGqdNfdme4m17_Ezd3J69EeeiQPD0/edit?usp=sharing"",""อุทัยธานี!N310"")"),0)</f>
        <v>0</v>
      </c>
      <c r="O310" s="59">
        <f t="shared" ca="1" si="131"/>
        <v>0</v>
      </c>
      <c r="P310" s="59">
        <f t="shared" ca="1" si="132"/>
        <v>0</v>
      </c>
    </row>
    <row r="311" spans="1:16" ht="18.75" x14ac:dyDescent="0.25">
      <c r="A311" s="157"/>
      <c r="B311" s="53"/>
      <c r="C311" s="53"/>
      <c r="D311" s="53"/>
      <c r="E311" s="60" t="s">
        <v>19</v>
      </c>
      <c r="F311" s="53"/>
      <c r="G311" s="55"/>
      <c r="H311" s="166" t="s">
        <v>12</v>
      </c>
      <c r="I311" s="164"/>
      <c r="J311" s="164"/>
      <c r="K311" s="165"/>
      <c r="L311" s="59">
        <f ca="1">IFERROR(__xludf.DUMMYFUNCTION("IMPORTRANGE(""https://docs.google.com/spreadsheets/d/1jTcq05yEiRwXcBMLjiodW9e4biSGYWAHcDj22rKWQ3s/edit?usp=sharing"",""กำแพงเพชร!L311"")+IMPORTRANGE(""https://docs.google.com/spreadsheets/d/1KS0zmDSZPk8KnTAbGN-Xk6MtX1YRZD0ldgdt20K4CRk/edit?usp=sharing"","&amp;"""เชียงราย!L311"")+IMPORTRANGE(""https://docs.google.com/spreadsheets/d/1rEDxBtusbi64tE0zunoIbsTVV16HeL0oJ6trHQeQ7K8/edit?usp=sharing"",""เชียงใหม่!L311"")+IMPORTRANGE(""https://docs.google.com/spreadsheets/d/1W6MnUbDkMi6xHnHko_XkFDO9kkuL6Wqyc-6OCDFjW9I/e"&amp;"dit?usp=sharing"",""ตาก!L311"")+IMPORTRANGE(""https://docs.google.com/spreadsheets/d/1IQAWArduLkta9LpYo4a_ULsyqdta6-6aDDiwpUnQT6c/edit?usp=sharing"",""นครสวรรค์!L311"")+IMPORTRANGE(""https://docs.google.com/spreadsheets/d/10s13Sk5xrltsiR-Zkbmk5DwIaDIKO8Xl"&amp;"bJAfqyT7Gvg/edit?usp=sharing"",""น่าน!L311"")+IMPORTRANGE(""https://docs.google.com/spreadsheets/d/1uu4nAn4Dbi1XREnLKKotUANlKXa7yCgRcgq8HEzQYW8/edit?usp=sharing"",""พะเยา!L311"")+IMPORTRANGE(""https://docs.google.com/spreadsheets/d/1xfJKIQxVOaPDIICqsflNlL"&amp;"u3JacTDk1FP9RH4phX7mI/edit?usp=sharing"",""พิจิตร!L311"")+IMPORTRANGE(""https://docs.google.com/spreadsheets/d/1JtRfZkJMHtEhI5RdRHxYUG4FIZHqKDpNyIuN7A1Q0_k/edit?usp=sharing"",""พิษณุโลก!L311"")+IMPORTRANGE(""https://docs.google.com/spreadsheets/d/1xlcVZWU"&amp;"Nn6SuWm0c307h32SiGkd9BaeQWlAktfD3KO8/edit?usp=sharing"",""เพชรบูรณ์!L311"")+IMPORTRANGE(""https://docs.google.com/spreadsheets/d/1lOVebEIsI9qjGXl6EX66luk7wiuP2tBaryw-wKvv4e0/edit?usp=sharing"",""แพร่!L311"")+IMPORTRANGE(""https://docs.google.com/spreadshe"&amp;"ets/d/1dQrvX0vEcN7Gu0fnZ0B5S90AeR19zth4XlExFBeExMY/edit?usp=sharing"",""แม่ฮ่องสอน!L311"")+IMPORTRANGE(""https://docs.google.com/spreadsheets/d/1DY4XTNNwjluuxqdfdn6qvOSlMRrZqUtmYcZR0ttFiG4/edit?usp=sharing"",""ลำปาง!L311"")+IMPORTRANGE(""https://docs.goog"&amp;"le.com/spreadsheets/d/1ICwG78r0OFT8biBlxnBF8r7she7gNSzOvJ958PWT09c/edit?usp=sharing"",""ลำพูน!L311"")+IMPORTRANGE(""https://docs.google.com/spreadsheets/d/1B0f2xJpZUC6Z0xXnqKlZtEPzsf6L84eP1r1Q15seqRM/edit?usp=sharing"",""สุโขทัย!L311"")+IMPORTRANGE(""http"&amp;"s://docs.google.com/spreadsheets/d/1v0b9pFQCsKUVExMei7AgY2yQkdeNQvtOssygGsXbiKo/edit?usp=sharing"",""อุตรดิตถ์!L311"")+IMPORTRANGE(""https://docs.google.com/spreadsheets/d/1UsNK1e-WWiCo2PvGqdNfdme4m17_Ezd3J69EeeiQPD0/edit?usp=sharing"",""อุทัยธานี!L311"")"),0)</f>
        <v>0</v>
      </c>
      <c r="M311" s="59">
        <f ca="1">IFERROR(__xludf.DUMMYFUNCTION("IMPORTRANGE(""https://docs.google.com/spreadsheets/d/1jTcq05yEiRwXcBMLjiodW9e4biSGYWAHcDj22rKWQ3s/edit?usp=sharing"",""กำแพงเพชร!M311"")+IMPORTRANGE(""https://docs.google.com/spreadsheets/d/1KS0zmDSZPk8KnTAbGN-Xk6MtX1YRZD0ldgdt20K4CRk/edit?usp=sharing"","&amp;"""เชียงราย!M311"")+IMPORTRANGE(""https://docs.google.com/spreadsheets/d/1rEDxBtusbi64tE0zunoIbsTVV16HeL0oJ6trHQeQ7K8/edit?usp=sharing"",""เชียงใหม่!M311"")+IMPORTRANGE(""https://docs.google.com/spreadsheets/d/1W6MnUbDkMi6xHnHko_XkFDO9kkuL6Wqyc-6OCDFjW9I/e"&amp;"dit?usp=sharing"",""ตาก!M311"")+IMPORTRANGE(""https://docs.google.com/spreadsheets/d/1IQAWArduLkta9LpYo4a_ULsyqdta6-6aDDiwpUnQT6c/edit?usp=sharing"",""นครสวรรค์!M311"")+IMPORTRANGE(""https://docs.google.com/spreadsheets/d/10s13Sk5xrltsiR-Zkbmk5DwIaDIKO8Xl"&amp;"bJAfqyT7Gvg/edit?usp=sharing"",""น่าน!M311"")+IMPORTRANGE(""https://docs.google.com/spreadsheets/d/1uu4nAn4Dbi1XREnLKKotUANlKXa7yCgRcgq8HEzQYW8/edit?usp=sharing"",""พะเยา!M311"")+IMPORTRANGE(""https://docs.google.com/spreadsheets/d/1xfJKIQxVOaPDIICqsflNlL"&amp;"u3JacTDk1FP9RH4phX7mI/edit?usp=sharing"",""พิจิตร!M311"")+IMPORTRANGE(""https://docs.google.com/spreadsheets/d/1JtRfZkJMHtEhI5RdRHxYUG4FIZHqKDpNyIuN7A1Q0_k/edit?usp=sharing"",""พิษณุโลก!M311"")+IMPORTRANGE(""https://docs.google.com/spreadsheets/d/1xlcVZWU"&amp;"Nn6SuWm0c307h32SiGkd9BaeQWlAktfD3KO8/edit?usp=sharing"",""เพชรบูรณ์!M311"")+IMPORTRANGE(""https://docs.google.com/spreadsheets/d/1lOVebEIsI9qjGXl6EX66luk7wiuP2tBaryw-wKvv4e0/edit?usp=sharing"",""แพร่!M311"")+IMPORTRANGE(""https://docs.google.com/spreadshe"&amp;"ets/d/1dQrvX0vEcN7Gu0fnZ0B5S90AeR19zth4XlExFBeExMY/edit?usp=sharing"",""แม่ฮ่องสอน!M311"")+IMPORTRANGE(""https://docs.google.com/spreadsheets/d/1DY4XTNNwjluuxqdfdn6qvOSlMRrZqUtmYcZR0ttFiG4/edit?usp=sharing"",""ลำปาง!M311"")+IMPORTRANGE(""https://docs.goog"&amp;"le.com/spreadsheets/d/1ICwG78r0OFT8biBlxnBF8r7she7gNSzOvJ958PWT09c/edit?usp=sharing"",""ลำพูน!M311"")+IMPORTRANGE(""https://docs.google.com/spreadsheets/d/1B0f2xJpZUC6Z0xXnqKlZtEPzsf6L84eP1r1Q15seqRM/edit?usp=sharing"",""สุโขทัย!M311"")+IMPORTRANGE(""http"&amp;"s://docs.google.com/spreadsheets/d/1v0b9pFQCsKUVExMei7AgY2yQkdeNQvtOssygGsXbiKo/edit?usp=sharing"",""อุตรดิตถ์!M311"")+IMPORTRANGE(""https://docs.google.com/spreadsheets/d/1UsNK1e-WWiCo2PvGqdNfdme4m17_Ezd3J69EeeiQPD0/edit?usp=sharing"",""อุทัยธานี!M311"")"),0)</f>
        <v>0</v>
      </c>
      <c r="N311" s="59">
        <f ca="1">IFERROR(__xludf.DUMMYFUNCTION("IMPORTRANGE(""https://docs.google.com/spreadsheets/d/1jTcq05yEiRwXcBMLjiodW9e4biSGYWAHcDj22rKWQ3s/edit?usp=sharing"",""กำแพงเพชร!N311"")+IMPORTRANGE(""https://docs.google.com/spreadsheets/d/1KS0zmDSZPk8KnTAbGN-Xk6MtX1YRZD0ldgdt20K4CRk/edit?usp=sharing"","&amp;"""เชียงราย!N311"")+IMPORTRANGE(""https://docs.google.com/spreadsheets/d/1rEDxBtusbi64tE0zunoIbsTVV16HeL0oJ6trHQeQ7K8/edit?usp=sharing"",""เชียงใหม่!N311"")+IMPORTRANGE(""https://docs.google.com/spreadsheets/d/1W6MnUbDkMi6xHnHko_XkFDO9kkuL6Wqyc-6OCDFjW9I/e"&amp;"dit?usp=sharing"",""ตาก!N311"")+IMPORTRANGE(""https://docs.google.com/spreadsheets/d/1IQAWArduLkta9LpYo4a_ULsyqdta6-6aDDiwpUnQT6c/edit?usp=sharing"",""นครสวรรค์!N311"")+IMPORTRANGE(""https://docs.google.com/spreadsheets/d/10s13Sk5xrltsiR-Zkbmk5DwIaDIKO8Xl"&amp;"bJAfqyT7Gvg/edit?usp=sharing"",""น่าน!N311"")+IMPORTRANGE(""https://docs.google.com/spreadsheets/d/1uu4nAn4Dbi1XREnLKKotUANlKXa7yCgRcgq8HEzQYW8/edit?usp=sharing"",""พะเยา!N311"")+IMPORTRANGE(""https://docs.google.com/spreadsheets/d/1xfJKIQxVOaPDIICqsflNlL"&amp;"u3JacTDk1FP9RH4phX7mI/edit?usp=sharing"",""พิจิตร!N311"")+IMPORTRANGE(""https://docs.google.com/spreadsheets/d/1JtRfZkJMHtEhI5RdRHxYUG4FIZHqKDpNyIuN7A1Q0_k/edit?usp=sharing"",""พิษณุโลก!N311"")+IMPORTRANGE(""https://docs.google.com/spreadsheets/d/1xlcVZWU"&amp;"Nn6SuWm0c307h32SiGkd9BaeQWlAktfD3KO8/edit?usp=sharing"",""เพชรบูรณ์!N311"")+IMPORTRANGE(""https://docs.google.com/spreadsheets/d/1lOVebEIsI9qjGXl6EX66luk7wiuP2tBaryw-wKvv4e0/edit?usp=sharing"",""แพร่!N311"")+IMPORTRANGE(""https://docs.google.com/spreadshe"&amp;"ets/d/1dQrvX0vEcN7Gu0fnZ0B5S90AeR19zth4XlExFBeExMY/edit?usp=sharing"",""แม่ฮ่องสอน!N311"")+IMPORTRANGE(""https://docs.google.com/spreadsheets/d/1DY4XTNNwjluuxqdfdn6qvOSlMRrZqUtmYcZR0ttFiG4/edit?usp=sharing"",""ลำปาง!N311"")+IMPORTRANGE(""https://docs.goog"&amp;"le.com/spreadsheets/d/1ICwG78r0OFT8biBlxnBF8r7she7gNSzOvJ958PWT09c/edit?usp=sharing"",""ลำพูน!N311"")+IMPORTRANGE(""https://docs.google.com/spreadsheets/d/1B0f2xJpZUC6Z0xXnqKlZtEPzsf6L84eP1r1Q15seqRM/edit?usp=sharing"",""สุโขทัย!N311"")+IMPORTRANGE(""http"&amp;"s://docs.google.com/spreadsheets/d/1v0b9pFQCsKUVExMei7AgY2yQkdeNQvtOssygGsXbiKo/edit?usp=sharing"",""อุตรดิตถ์!N311"")+IMPORTRANGE(""https://docs.google.com/spreadsheets/d/1UsNK1e-WWiCo2PvGqdNfdme4m17_Ezd3J69EeeiQPD0/edit?usp=sharing"",""อุทัยธานี!N311"")"),0)</f>
        <v>0</v>
      </c>
      <c r="O311" s="59">
        <f t="shared" ca="1" si="131"/>
        <v>0</v>
      </c>
      <c r="P311" s="59">
        <f t="shared" ca="1" si="132"/>
        <v>0</v>
      </c>
    </row>
    <row r="312" spans="1:16" ht="19.5" x14ac:dyDescent="0.3">
      <c r="A312" s="167"/>
      <c r="B312" s="168"/>
      <c r="C312" s="158" t="s">
        <v>16</v>
      </c>
      <c r="D312" s="169" t="s">
        <v>36</v>
      </c>
      <c r="E312" s="170"/>
      <c r="F312" s="170"/>
      <c r="G312" s="171"/>
      <c r="H312" s="172"/>
      <c r="I312" s="57"/>
      <c r="J312" s="57"/>
      <c r="K312" s="58"/>
      <c r="L312" s="58"/>
      <c r="M312" s="58"/>
      <c r="N312" s="58"/>
      <c r="O312" s="58"/>
      <c r="P312" s="58"/>
    </row>
    <row r="313" spans="1:16" ht="18.75" x14ac:dyDescent="0.25">
      <c r="A313" s="167"/>
      <c r="B313" s="168"/>
      <c r="C313" s="168"/>
      <c r="D313" s="193" t="s">
        <v>121</v>
      </c>
      <c r="E313" s="174"/>
      <c r="F313" s="174"/>
      <c r="G313" s="172"/>
      <c r="H313" s="172"/>
      <c r="I313" s="57"/>
      <c r="J313" s="181">
        <f ca="1">IFERROR(__xludf.DUMMYFUNCTION("IMPORTRANGE(""https://docs.google.com/spreadsheets/d/1jTcq05yEiRwXcBMLjiodW9e4biSGYWAHcDj22rKWQ3s/edit?usp=sharing"",""กำแพงเพชร!J313"")+IMPORTRANGE(""https://docs.google.com/spreadsheets/d/1KS0zmDSZPk8KnTAbGN-Xk6MtX1YRZD0ldgdt20K4CRk/edit?usp=sharing"","&amp;"""เชียงราย!J313"")+IMPORTRANGE(""https://docs.google.com/spreadsheets/d/1rEDxBtusbi64tE0zunoIbsTVV16HeL0oJ6trHQeQ7K8/edit?usp=sharing"",""เชียงใหม่!J313"")+IMPORTRANGE(""https://docs.google.com/spreadsheets/d/1W6MnUbDkMi6xHnHko_XkFDO9kkuL6Wqyc-6OCDFjW9I/e"&amp;"dit?usp=sharing"",""ตาก!J313"")+IMPORTRANGE(""https://docs.google.com/spreadsheets/d/1IQAWArduLkta9LpYo4a_ULsyqdta6-6aDDiwpUnQT6c/edit?usp=sharing"",""นครสวรรค์!J313"")+IMPORTRANGE(""https://docs.google.com/spreadsheets/d/10s13Sk5xrltsiR-Zkbmk5DwIaDIKO8Xl"&amp;"bJAfqyT7Gvg/edit?usp=sharing"",""น่าน!J313"")+IMPORTRANGE(""https://docs.google.com/spreadsheets/d/1uu4nAn4Dbi1XREnLKKotUANlKXa7yCgRcgq8HEzQYW8/edit?usp=sharing"",""พะเยา!J313"")+IMPORTRANGE(""https://docs.google.com/spreadsheets/d/1xfJKIQxVOaPDIICqsflNlL"&amp;"u3JacTDk1FP9RH4phX7mI/edit?usp=sharing"",""พิจิตร!J313"")+IMPORTRANGE(""https://docs.google.com/spreadsheets/d/1JtRfZkJMHtEhI5RdRHxYUG4FIZHqKDpNyIuN7A1Q0_k/edit?usp=sharing"",""พิษณุโลก!J313"")+IMPORTRANGE(""https://docs.google.com/spreadsheets/d/1xlcVZWU"&amp;"Nn6SuWm0c307h32SiGkd9BaeQWlAktfD3KO8/edit?usp=sharing"",""เพชรบูรณ์!J313"")+IMPORTRANGE(""https://docs.google.com/spreadsheets/d/1lOVebEIsI9qjGXl6EX66luk7wiuP2tBaryw-wKvv4e0/edit?usp=sharing"",""แพร่!J313"")+IMPORTRANGE(""https://docs.google.com/spreadshe"&amp;"ets/d/1dQrvX0vEcN7Gu0fnZ0B5S90AeR19zth4XlExFBeExMY/edit?usp=sharing"",""แม่ฮ่องสอน!J313"")+IMPORTRANGE(""https://docs.google.com/spreadsheets/d/1DY4XTNNwjluuxqdfdn6qvOSlMRrZqUtmYcZR0ttFiG4/edit?usp=sharing"",""ลำปาง!J313"")+IMPORTRANGE(""https://docs.goog"&amp;"le.com/spreadsheets/d/1ICwG78r0OFT8biBlxnBF8r7she7gNSzOvJ958PWT09c/edit?usp=sharing"",""ลำพูน!J313"")+IMPORTRANGE(""https://docs.google.com/spreadsheets/d/1B0f2xJpZUC6Z0xXnqKlZtEPzsf6L84eP1r1Q15seqRM/edit?usp=sharing"",""สุโขทัย!J313"")+IMPORTRANGE(""http"&amp;"s://docs.google.com/spreadsheets/d/1v0b9pFQCsKUVExMei7AgY2yQkdeNQvtOssygGsXbiKo/edit?usp=sharing"",""อุตรดิตถ์!J313"")+IMPORTRANGE(""https://docs.google.com/spreadsheets/d/1UsNK1e-WWiCo2PvGqdNfdme4m17_Ezd3J69EeeiQPD0/edit?usp=sharing"",""อุทัยธานี!J313"")"),2)</f>
        <v>2</v>
      </c>
      <c r="K313" s="58"/>
      <c r="L313" s="58"/>
      <c r="M313" s="58"/>
      <c r="N313" s="58"/>
      <c r="O313" s="58"/>
      <c r="P313" s="58"/>
    </row>
    <row r="314" spans="1:16" ht="18.75" x14ac:dyDescent="0.25">
      <c r="A314" s="167"/>
      <c r="B314" s="168"/>
      <c r="C314" s="168"/>
      <c r="D314" s="178" t="s">
        <v>114</v>
      </c>
      <c r="E314" s="174"/>
      <c r="F314" s="174"/>
      <c r="G314" s="172"/>
      <c r="H314" s="179" t="s">
        <v>33</v>
      </c>
      <c r="I314" s="194">
        <f ca="1">IFERROR(__xludf.DUMMYFUNCTION("IMPORTRANGE(""https://docs.google.com/spreadsheets/d/1jTcq05yEiRwXcBMLjiodW9e4biSGYWAHcDj22rKWQ3s/edit?usp=sharing"",""กำแพงเพชร!I314"")+IMPORTRANGE(""https://docs.google.com/spreadsheets/d/1KS0zmDSZPk8KnTAbGN-Xk6MtX1YRZD0ldgdt20K4CRk/edit?usp=sharing"","&amp;"""เชียงราย!I314"")+IMPORTRANGE(""https://docs.google.com/spreadsheets/d/1rEDxBtusbi64tE0zunoIbsTVV16HeL0oJ6trHQeQ7K8/edit?usp=sharing"",""เชียงใหม่!I314"")+IMPORTRANGE(""https://docs.google.com/spreadsheets/d/1W6MnUbDkMi6xHnHko_XkFDO9kkuL6Wqyc-6OCDFjW9I/e"&amp;"dit?usp=sharing"",""ตาก!I314"")+IMPORTRANGE(""https://docs.google.com/spreadsheets/d/1IQAWArduLkta9LpYo4a_ULsyqdta6-6aDDiwpUnQT6c/edit?usp=sharing"",""นครสวรรค์!I314"")+IMPORTRANGE(""https://docs.google.com/spreadsheets/d/10s13Sk5xrltsiR-Zkbmk5DwIaDIKO8Xl"&amp;"bJAfqyT7Gvg/edit?usp=sharing"",""น่าน!I314"")+IMPORTRANGE(""https://docs.google.com/spreadsheets/d/1uu4nAn4Dbi1XREnLKKotUANlKXa7yCgRcgq8HEzQYW8/edit?usp=sharing"",""พะเยา!I314"")+IMPORTRANGE(""https://docs.google.com/spreadsheets/d/1xfJKIQxVOaPDIICqsflNlL"&amp;"u3JacTDk1FP9RH4phX7mI/edit?usp=sharing"",""พิจิตร!I314"")+IMPORTRANGE(""https://docs.google.com/spreadsheets/d/1JtRfZkJMHtEhI5RdRHxYUG4FIZHqKDpNyIuN7A1Q0_k/edit?usp=sharing"",""พิษณุโลก!I314"")+IMPORTRANGE(""https://docs.google.com/spreadsheets/d/1xlcVZWU"&amp;"Nn6SuWm0c307h32SiGkd9BaeQWlAktfD3KO8/edit?usp=sharing"",""เพชรบูรณ์!I314"")+IMPORTRANGE(""https://docs.google.com/spreadsheets/d/1lOVebEIsI9qjGXl6EX66luk7wiuP2tBaryw-wKvv4e0/edit?usp=sharing"",""แพร่!I314"")+IMPORTRANGE(""https://docs.google.com/spreadshe"&amp;"ets/d/1dQrvX0vEcN7Gu0fnZ0B5S90AeR19zth4XlExFBeExMY/edit?usp=sharing"",""แม่ฮ่องสอน!I314"")+IMPORTRANGE(""https://docs.google.com/spreadsheets/d/1DY4XTNNwjluuxqdfdn6qvOSlMRrZqUtmYcZR0ttFiG4/edit?usp=sharing"",""ลำปาง!I314"")+IMPORTRANGE(""https://docs.goog"&amp;"le.com/spreadsheets/d/1ICwG78r0OFT8biBlxnBF8r7she7gNSzOvJ958PWT09c/edit?usp=sharing"",""ลำพูน!I314"")+IMPORTRANGE(""https://docs.google.com/spreadsheets/d/1B0f2xJpZUC6Z0xXnqKlZtEPzsf6L84eP1r1Q15seqRM/edit?usp=sharing"",""สุโขทัย!I314"")+IMPORTRANGE(""http"&amp;"s://docs.google.com/spreadsheets/d/1v0b9pFQCsKUVExMei7AgY2yQkdeNQvtOssygGsXbiKo/edit?usp=sharing"",""อุตรดิตถ์!I314"")+IMPORTRANGE(""https://docs.google.com/spreadsheets/d/1UsNK1e-WWiCo2PvGqdNfdme4m17_Ezd3J69EeeiQPD0/edit?usp=sharing"",""อุทัยธานี!I314"")"),190)</f>
        <v>190</v>
      </c>
      <c r="J314" s="181">
        <f ca="1">IFERROR(__xludf.DUMMYFUNCTION("IMPORTRANGE(""https://docs.google.com/spreadsheets/d/1jTcq05yEiRwXcBMLjiodW9e4biSGYWAHcDj22rKWQ3s/edit?usp=sharing"",""กำแพงเพชร!J314"")+IMPORTRANGE(""https://docs.google.com/spreadsheets/d/1KS0zmDSZPk8KnTAbGN-Xk6MtX1YRZD0ldgdt20K4CRk/edit?usp=sharing"","&amp;"""เชียงราย!J314"")+IMPORTRANGE(""https://docs.google.com/spreadsheets/d/1rEDxBtusbi64tE0zunoIbsTVV16HeL0oJ6trHQeQ7K8/edit?usp=sharing"",""เชียงใหม่!J314"")+IMPORTRANGE(""https://docs.google.com/spreadsheets/d/1W6MnUbDkMi6xHnHko_XkFDO9kkuL6Wqyc-6OCDFjW9I/e"&amp;"dit?usp=sharing"",""ตาก!J314"")+IMPORTRANGE(""https://docs.google.com/spreadsheets/d/1IQAWArduLkta9LpYo4a_ULsyqdta6-6aDDiwpUnQT6c/edit?usp=sharing"",""นครสวรรค์!J314"")+IMPORTRANGE(""https://docs.google.com/spreadsheets/d/10s13Sk5xrltsiR-Zkbmk5DwIaDIKO8Xl"&amp;"bJAfqyT7Gvg/edit?usp=sharing"",""น่าน!J314"")+IMPORTRANGE(""https://docs.google.com/spreadsheets/d/1uu4nAn4Dbi1XREnLKKotUANlKXa7yCgRcgq8HEzQYW8/edit?usp=sharing"",""พะเยา!J314"")+IMPORTRANGE(""https://docs.google.com/spreadsheets/d/1xfJKIQxVOaPDIICqsflNlL"&amp;"u3JacTDk1FP9RH4phX7mI/edit?usp=sharing"",""พิจิตร!J314"")+IMPORTRANGE(""https://docs.google.com/spreadsheets/d/1JtRfZkJMHtEhI5RdRHxYUG4FIZHqKDpNyIuN7A1Q0_k/edit?usp=sharing"",""พิษณุโลก!J314"")+IMPORTRANGE(""https://docs.google.com/spreadsheets/d/1xlcVZWU"&amp;"Nn6SuWm0c307h32SiGkd9BaeQWlAktfD3KO8/edit?usp=sharing"",""เพชรบูรณ์!J314"")+IMPORTRANGE(""https://docs.google.com/spreadsheets/d/1lOVebEIsI9qjGXl6EX66luk7wiuP2tBaryw-wKvv4e0/edit?usp=sharing"",""แพร่!J314"")+IMPORTRANGE(""https://docs.google.com/spreadshe"&amp;"ets/d/1dQrvX0vEcN7Gu0fnZ0B5S90AeR19zth4XlExFBeExMY/edit?usp=sharing"",""แม่ฮ่องสอน!J314"")+IMPORTRANGE(""https://docs.google.com/spreadsheets/d/1DY4XTNNwjluuxqdfdn6qvOSlMRrZqUtmYcZR0ttFiG4/edit?usp=sharing"",""ลำปาง!J314"")+IMPORTRANGE(""https://docs.goog"&amp;"le.com/spreadsheets/d/1ICwG78r0OFT8biBlxnBF8r7she7gNSzOvJ958PWT09c/edit?usp=sharing"",""ลำพูน!J314"")+IMPORTRANGE(""https://docs.google.com/spreadsheets/d/1B0f2xJpZUC6Z0xXnqKlZtEPzsf6L84eP1r1Q15seqRM/edit?usp=sharing"",""สุโขทัย!J314"")+IMPORTRANGE(""http"&amp;"s://docs.google.com/spreadsheets/d/1v0b9pFQCsKUVExMei7AgY2yQkdeNQvtOssygGsXbiKo/edit?usp=sharing"",""อุตรดิตถ์!J314"")+IMPORTRANGE(""https://docs.google.com/spreadsheets/d/1UsNK1e-WWiCo2PvGqdNfdme4m17_Ezd3J69EeeiQPD0/edit?usp=sharing"",""อุทัยธานี!J314"")"),65)</f>
        <v>65</v>
      </c>
      <c r="K314" s="59">
        <f t="shared" ref="K314:K317" ca="1" si="137">IF(I314&gt;0,J314*100/I314,0)</f>
        <v>34.210526315789473</v>
      </c>
      <c r="L314" s="58"/>
      <c r="M314" s="58"/>
      <c r="N314" s="58"/>
      <c r="O314" s="58"/>
      <c r="P314" s="58"/>
    </row>
    <row r="315" spans="1:16" ht="18.75" x14ac:dyDescent="0.25">
      <c r="A315" s="167"/>
      <c r="B315" s="168"/>
      <c r="C315" s="168"/>
      <c r="D315" s="178" t="s">
        <v>122</v>
      </c>
      <c r="E315" s="174"/>
      <c r="F315" s="174"/>
      <c r="G315" s="172"/>
      <c r="H315" s="179" t="s">
        <v>33</v>
      </c>
      <c r="I315" s="194">
        <f ca="1">IFERROR(__xludf.DUMMYFUNCTION("IMPORTRANGE(""https://docs.google.com/spreadsheets/d/1jTcq05yEiRwXcBMLjiodW9e4biSGYWAHcDj22rKWQ3s/edit?usp=sharing"",""กำแพงเพชร!I315"")+IMPORTRANGE(""https://docs.google.com/spreadsheets/d/1KS0zmDSZPk8KnTAbGN-Xk6MtX1YRZD0ldgdt20K4CRk/edit?usp=sharing"","&amp;"""เชียงราย!I315"")+IMPORTRANGE(""https://docs.google.com/spreadsheets/d/1rEDxBtusbi64tE0zunoIbsTVV16HeL0oJ6trHQeQ7K8/edit?usp=sharing"",""เชียงใหม่!I315"")+IMPORTRANGE(""https://docs.google.com/spreadsheets/d/1W6MnUbDkMi6xHnHko_XkFDO9kkuL6Wqyc-6OCDFjW9I/e"&amp;"dit?usp=sharing"",""ตาก!I315"")+IMPORTRANGE(""https://docs.google.com/spreadsheets/d/1IQAWArduLkta9LpYo4a_ULsyqdta6-6aDDiwpUnQT6c/edit?usp=sharing"",""นครสวรรค์!I315"")+IMPORTRANGE(""https://docs.google.com/spreadsheets/d/10s13Sk5xrltsiR-Zkbmk5DwIaDIKO8Xl"&amp;"bJAfqyT7Gvg/edit?usp=sharing"",""น่าน!I315"")+IMPORTRANGE(""https://docs.google.com/spreadsheets/d/1uu4nAn4Dbi1XREnLKKotUANlKXa7yCgRcgq8HEzQYW8/edit?usp=sharing"",""พะเยา!I315"")+IMPORTRANGE(""https://docs.google.com/spreadsheets/d/1xfJKIQxVOaPDIICqsflNlL"&amp;"u3JacTDk1FP9RH4phX7mI/edit?usp=sharing"",""พิจิตร!I315"")+IMPORTRANGE(""https://docs.google.com/spreadsheets/d/1JtRfZkJMHtEhI5RdRHxYUG4FIZHqKDpNyIuN7A1Q0_k/edit?usp=sharing"",""พิษณุโลก!I315"")+IMPORTRANGE(""https://docs.google.com/spreadsheets/d/1xlcVZWU"&amp;"Nn6SuWm0c307h32SiGkd9BaeQWlAktfD3KO8/edit?usp=sharing"",""เพชรบูรณ์!I315"")+IMPORTRANGE(""https://docs.google.com/spreadsheets/d/1lOVebEIsI9qjGXl6EX66luk7wiuP2tBaryw-wKvv4e0/edit?usp=sharing"",""แพร่!I315"")+IMPORTRANGE(""https://docs.google.com/spreadshe"&amp;"ets/d/1dQrvX0vEcN7Gu0fnZ0B5S90AeR19zth4XlExFBeExMY/edit?usp=sharing"",""แม่ฮ่องสอน!I315"")+IMPORTRANGE(""https://docs.google.com/spreadsheets/d/1DY4XTNNwjluuxqdfdn6qvOSlMRrZqUtmYcZR0ttFiG4/edit?usp=sharing"",""ลำปาง!I315"")+IMPORTRANGE(""https://docs.goog"&amp;"le.com/spreadsheets/d/1ICwG78r0OFT8biBlxnBF8r7she7gNSzOvJ958PWT09c/edit?usp=sharing"",""ลำพูน!I315"")+IMPORTRANGE(""https://docs.google.com/spreadsheets/d/1B0f2xJpZUC6Z0xXnqKlZtEPzsf6L84eP1r1Q15seqRM/edit?usp=sharing"",""สุโขทัย!I315"")+IMPORTRANGE(""http"&amp;"s://docs.google.com/spreadsheets/d/1v0b9pFQCsKUVExMei7AgY2yQkdeNQvtOssygGsXbiKo/edit?usp=sharing"",""อุตรดิตถ์!I315"")+IMPORTRANGE(""https://docs.google.com/spreadsheets/d/1UsNK1e-WWiCo2PvGqdNfdme4m17_Ezd3J69EeeiQPD0/edit?usp=sharing"",""อุทัยธานี!I315"")"),38)</f>
        <v>38</v>
      </c>
      <c r="J315" s="181">
        <f ca="1">IFERROR(__xludf.DUMMYFUNCTION("IMPORTRANGE(""https://docs.google.com/spreadsheets/d/1jTcq05yEiRwXcBMLjiodW9e4biSGYWAHcDj22rKWQ3s/edit?usp=sharing"",""กำแพงเพชร!J315"")+IMPORTRANGE(""https://docs.google.com/spreadsheets/d/1KS0zmDSZPk8KnTAbGN-Xk6MtX1YRZD0ldgdt20K4CRk/edit?usp=sharing"","&amp;"""เชียงราย!J315"")+IMPORTRANGE(""https://docs.google.com/spreadsheets/d/1rEDxBtusbi64tE0zunoIbsTVV16HeL0oJ6trHQeQ7K8/edit?usp=sharing"",""เชียงใหม่!J315"")+IMPORTRANGE(""https://docs.google.com/spreadsheets/d/1W6MnUbDkMi6xHnHko_XkFDO9kkuL6Wqyc-6OCDFjW9I/e"&amp;"dit?usp=sharing"",""ตาก!J315"")+IMPORTRANGE(""https://docs.google.com/spreadsheets/d/1IQAWArduLkta9LpYo4a_ULsyqdta6-6aDDiwpUnQT6c/edit?usp=sharing"",""นครสวรรค์!J315"")+IMPORTRANGE(""https://docs.google.com/spreadsheets/d/10s13Sk5xrltsiR-Zkbmk5DwIaDIKO8Xl"&amp;"bJAfqyT7Gvg/edit?usp=sharing"",""น่าน!J315"")+IMPORTRANGE(""https://docs.google.com/spreadsheets/d/1uu4nAn4Dbi1XREnLKKotUANlKXa7yCgRcgq8HEzQYW8/edit?usp=sharing"",""พะเยา!J315"")+IMPORTRANGE(""https://docs.google.com/spreadsheets/d/1xfJKIQxVOaPDIICqsflNlL"&amp;"u3JacTDk1FP9RH4phX7mI/edit?usp=sharing"",""พิจิตร!J315"")+IMPORTRANGE(""https://docs.google.com/spreadsheets/d/1JtRfZkJMHtEhI5RdRHxYUG4FIZHqKDpNyIuN7A1Q0_k/edit?usp=sharing"",""พิษณุโลก!J315"")+IMPORTRANGE(""https://docs.google.com/spreadsheets/d/1xlcVZWU"&amp;"Nn6SuWm0c307h32SiGkd9BaeQWlAktfD3KO8/edit?usp=sharing"",""เพชรบูรณ์!J315"")+IMPORTRANGE(""https://docs.google.com/spreadsheets/d/1lOVebEIsI9qjGXl6EX66luk7wiuP2tBaryw-wKvv4e0/edit?usp=sharing"",""แพร่!J315"")+IMPORTRANGE(""https://docs.google.com/spreadshe"&amp;"ets/d/1dQrvX0vEcN7Gu0fnZ0B5S90AeR19zth4XlExFBeExMY/edit?usp=sharing"",""แม่ฮ่องสอน!J315"")+IMPORTRANGE(""https://docs.google.com/spreadsheets/d/1DY4XTNNwjluuxqdfdn6qvOSlMRrZqUtmYcZR0ttFiG4/edit?usp=sharing"",""ลำปาง!J315"")+IMPORTRANGE(""https://docs.goog"&amp;"le.com/spreadsheets/d/1ICwG78r0OFT8biBlxnBF8r7she7gNSzOvJ958PWT09c/edit?usp=sharing"",""ลำพูน!J315"")+IMPORTRANGE(""https://docs.google.com/spreadsheets/d/1B0f2xJpZUC6Z0xXnqKlZtEPzsf6L84eP1r1Q15seqRM/edit?usp=sharing"",""สุโขทัย!J315"")+IMPORTRANGE(""http"&amp;"s://docs.google.com/spreadsheets/d/1v0b9pFQCsKUVExMei7AgY2yQkdeNQvtOssygGsXbiKo/edit?usp=sharing"",""อุตรดิตถ์!J315"")+IMPORTRANGE(""https://docs.google.com/spreadsheets/d/1UsNK1e-WWiCo2PvGqdNfdme4m17_Ezd3J69EeeiQPD0/edit?usp=sharing"",""อุทัยธานี!J315"")"),5)</f>
        <v>5</v>
      </c>
      <c r="K315" s="59">
        <f t="shared" ca="1" si="137"/>
        <v>13.157894736842104</v>
      </c>
      <c r="L315" s="58"/>
      <c r="M315" s="58"/>
      <c r="N315" s="58"/>
      <c r="O315" s="58"/>
      <c r="P315" s="58"/>
    </row>
    <row r="316" spans="1:16" ht="18.75" x14ac:dyDescent="0.25">
      <c r="A316" s="167"/>
      <c r="B316" s="168"/>
      <c r="C316" s="168"/>
      <c r="D316" s="193" t="s">
        <v>48</v>
      </c>
      <c r="E316" s="174"/>
      <c r="F316" s="174"/>
      <c r="G316" s="172"/>
      <c r="H316" s="179" t="s">
        <v>33</v>
      </c>
      <c r="I316" s="194">
        <f ca="1">IFERROR(__xludf.DUMMYFUNCTION("IMPORTRANGE(""https://docs.google.com/spreadsheets/d/1jTcq05yEiRwXcBMLjiodW9e4biSGYWAHcDj22rKWQ3s/edit?usp=sharing"",""กำแพงเพชร!I316"")+IMPORTRANGE(""https://docs.google.com/spreadsheets/d/1KS0zmDSZPk8KnTAbGN-Xk6MtX1YRZD0ldgdt20K4CRk/edit?usp=sharing"","&amp;"""เชียงราย!I316"")+IMPORTRANGE(""https://docs.google.com/spreadsheets/d/1rEDxBtusbi64tE0zunoIbsTVV16HeL0oJ6trHQeQ7K8/edit?usp=sharing"",""เชียงใหม่!I316"")+IMPORTRANGE(""https://docs.google.com/spreadsheets/d/1W6MnUbDkMi6xHnHko_XkFDO9kkuL6Wqyc-6OCDFjW9I/e"&amp;"dit?usp=sharing"",""ตาก!I316"")+IMPORTRANGE(""https://docs.google.com/spreadsheets/d/1IQAWArduLkta9LpYo4a_ULsyqdta6-6aDDiwpUnQT6c/edit?usp=sharing"",""นครสวรรค์!I316"")+IMPORTRANGE(""https://docs.google.com/spreadsheets/d/10s13Sk5xrltsiR-Zkbmk5DwIaDIKO8Xl"&amp;"bJAfqyT7Gvg/edit?usp=sharing"",""น่าน!I316"")+IMPORTRANGE(""https://docs.google.com/spreadsheets/d/1uu4nAn4Dbi1XREnLKKotUANlKXa7yCgRcgq8HEzQYW8/edit?usp=sharing"",""พะเยา!I316"")+IMPORTRANGE(""https://docs.google.com/spreadsheets/d/1xfJKIQxVOaPDIICqsflNlL"&amp;"u3JacTDk1FP9RH4phX7mI/edit?usp=sharing"",""พิจิตร!I316"")+IMPORTRANGE(""https://docs.google.com/spreadsheets/d/1JtRfZkJMHtEhI5RdRHxYUG4FIZHqKDpNyIuN7A1Q0_k/edit?usp=sharing"",""พิษณุโลก!I316"")+IMPORTRANGE(""https://docs.google.com/spreadsheets/d/1xlcVZWU"&amp;"Nn6SuWm0c307h32SiGkd9BaeQWlAktfD3KO8/edit?usp=sharing"",""เพชรบูรณ์!I316"")+IMPORTRANGE(""https://docs.google.com/spreadsheets/d/1lOVebEIsI9qjGXl6EX66luk7wiuP2tBaryw-wKvv4e0/edit?usp=sharing"",""แพร่!I316"")+IMPORTRANGE(""https://docs.google.com/spreadshe"&amp;"ets/d/1dQrvX0vEcN7Gu0fnZ0B5S90AeR19zth4XlExFBeExMY/edit?usp=sharing"",""แม่ฮ่องสอน!I316"")+IMPORTRANGE(""https://docs.google.com/spreadsheets/d/1DY4XTNNwjluuxqdfdn6qvOSlMRrZqUtmYcZR0ttFiG4/edit?usp=sharing"",""ลำปาง!I316"")+IMPORTRANGE(""https://docs.goog"&amp;"le.com/spreadsheets/d/1ICwG78r0OFT8biBlxnBF8r7she7gNSzOvJ958PWT09c/edit?usp=sharing"",""ลำพูน!I316"")+IMPORTRANGE(""https://docs.google.com/spreadsheets/d/1B0f2xJpZUC6Z0xXnqKlZtEPzsf6L84eP1r1Q15seqRM/edit?usp=sharing"",""สุโขทัย!I316"")+IMPORTRANGE(""http"&amp;"s://docs.google.com/spreadsheets/d/1v0b9pFQCsKUVExMei7AgY2yQkdeNQvtOssygGsXbiKo/edit?usp=sharing"",""อุตรดิตถ์!I316"")+IMPORTRANGE(""https://docs.google.com/spreadsheets/d/1UsNK1e-WWiCo2PvGqdNfdme4m17_Ezd3J69EeeiQPD0/edit?usp=sharing"",""อุทัยธานี!I316"")"),190)</f>
        <v>190</v>
      </c>
      <c r="J316" s="181">
        <f ca="1">IFERROR(__xludf.DUMMYFUNCTION("IMPORTRANGE(""https://docs.google.com/spreadsheets/d/1jTcq05yEiRwXcBMLjiodW9e4biSGYWAHcDj22rKWQ3s/edit?usp=sharing"",""กำแพงเพชร!J316"")+IMPORTRANGE(""https://docs.google.com/spreadsheets/d/1KS0zmDSZPk8KnTAbGN-Xk6MtX1YRZD0ldgdt20K4CRk/edit?usp=sharing"","&amp;"""เชียงราย!J316"")+IMPORTRANGE(""https://docs.google.com/spreadsheets/d/1rEDxBtusbi64tE0zunoIbsTVV16HeL0oJ6trHQeQ7K8/edit?usp=sharing"",""เชียงใหม่!J316"")+IMPORTRANGE(""https://docs.google.com/spreadsheets/d/1W6MnUbDkMi6xHnHko_XkFDO9kkuL6Wqyc-6OCDFjW9I/e"&amp;"dit?usp=sharing"",""ตาก!J316"")+IMPORTRANGE(""https://docs.google.com/spreadsheets/d/1IQAWArduLkta9LpYo4a_ULsyqdta6-6aDDiwpUnQT6c/edit?usp=sharing"",""นครสวรรค์!J316"")+IMPORTRANGE(""https://docs.google.com/spreadsheets/d/10s13Sk5xrltsiR-Zkbmk5DwIaDIKO8Xl"&amp;"bJAfqyT7Gvg/edit?usp=sharing"",""น่าน!J316"")+IMPORTRANGE(""https://docs.google.com/spreadsheets/d/1uu4nAn4Dbi1XREnLKKotUANlKXa7yCgRcgq8HEzQYW8/edit?usp=sharing"",""พะเยา!J316"")+IMPORTRANGE(""https://docs.google.com/spreadsheets/d/1xfJKIQxVOaPDIICqsflNlL"&amp;"u3JacTDk1FP9RH4phX7mI/edit?usp=sharing"",""พิจิตร!J316"")+IMPORTRANGE(""https://docs.google.com/spreadsheets/d/1JtRfZkJMHtEhI5RdRHxYUG4FIZHqKDpNyIuN7A1Q0_k/edit?usp=sharing"",""พิษณุโลก!J316"")+IMPORTRANGE(""https://docs.google.com/spreadsheets/d/1xlcVZWU"&amp;"Nn6SuWm0c307h32SiGkd9BaeQWlAktfD3KO8/edit?usp=sharing"",""เพชรบูรณ์!J316"")+IMPORTRANGE(""https://docs.google.com/spreadsheets/d/1lOVebEIsI9qjGXl6EX66luk7wiuP2tBaryw-wKvv4e0/edit?usp=sharing"",""แพร่!J316"")+IMPORTRANGE(""https://docs.google.com/spreadshe"&amp;"ets/d/1dQrvX0vEcN7Gu0fnZ0B5S90AeR19zth4XlExFBeExMY/edit?usp=sharing"",""แม่ฮ่องสอน!J316"")+IMPORTRANGE(""https://docs.google.com/spreadsheets/d/1DY4XTNNwjluuxqdfdn6qvOSlMRrZqUtmYcZR0ttFiG4/edit?usp=sharing"",""ลำปาง!J316"")+IMPORTRANGE(""https://docs.goog"&amp;"le.com/spreadsheets/d/1ICwG78r0OFT8biBlxnBF8r7she7gNSzOvJ958PWT09c/edit?usp=sharing"",""ลำพูน!J316"")+IMPORTRANGE(""https://docs.google.com/spreadsheets/d/1B0f2xJpZUC6Z0xXnqKlZtEPzsf6L84eP1r1Q15seqRM/edit?usp=sharing"",""สุโขทัย!J316"")+IMPORTRANGE(""http"&amp;"s://docs.google.com/spreadsheets/d/1v0b9pFQCsKUVExMei7AgY2yQkdeNQvtOssygGsXbiKo/edit?usp=sharing"",""อุตรดิตถ์!J316"")+IMPORTRANGE(""https://docs.google.com/spreadsheets/d/1UsNK1e-WWiCo2PvGqdNfdme4m17_Ezd3J69EeeiQPD0/edit?usp=sharing"",""อุทัยธานี!J316"")"),0)</f>
        <v>0</v>
      </c>
      <c r="K316" s="59">
        <f t="shared" ca="1" si="137"/>
        <v>0</v>
      </c>
      <c r="L316" s="58"/>
      <c r="M316" s="58"/>
      <c r="N316" s="58"/>
      <c r="O316" s="58"/>
      <c r="P316" s="58"/>
    </row>
    <row r="317" spans="1:16" ht="18.75" x14ac:dyDescent="0.25">
      <c r="A317" s="274"/>
      <c r="B317" s="278"/>
      <c r="C317" s="278"/>
      <c r="D317" s="60" t="s">
        <v>123</v>
      </c>
      <c r="E317" s="53"/>
      <c r="F317" s="53"/>
      <c r="G317" s="55"/>
      <c r="H317" s="56" t="s">
        <v>33</v>
      </c>
      <c r="I317" s="194">
        <f ca="1">IFERROR(__xludf.DUMMYFUNCTION("IMPORTRANGE(""https://docs.google.com/spreadsheets/d/1jTcq05yEiRwXcBMLjiodW9e4biSGYWAHcDj22rKWQ3s/edit?usp=sharing"",""กำแพงเพชร!I317"")+IMPORTRANGE(""https://docs.google.com/spreadsheets/d/1KS0zmDSZPk8KnTAbGN-Xk6MtX1YRZD0ldgdt20K4CRk/edit?usp=sharing"","&amp;"""เชียงราย!I317"")+IMPORTRANGE(""https://docs.google.com/spreadsheets/d/1rEDxBtusbi64tE0zunoIbsTVV16HeL0oJ6trHQeQ7K8/edit?usp=sharing"",""เชียงใหม่!I317"")+IMPORTRANGE(""https://docs.google.com/spreadsheets/d/1W6MnUbDkMi6xHnHko_XkFDO9kkuL6Wqyc-6OCDFjW9I/e"&amp;"dit?usp=sharing"",""ตาก!I317"")+IMPORTRANGE(""https://docs.google.com/spreadsheets/d/1IQAWArduLkta9LpYo4a_ULsyqdta6-6aDDiwpUnQT6c/edit?usp=sharing"",""นครสวรรค์!I317"")+IMPORTRANGE(""https://docs.google.com/spreadsheets/d/10s13Sk5xrltsiR-Zkbmk5DwIaDIKO8Xl"&amp;"bJAfqyT7Gvg/edit?usp=sharing"",""น่าน!I317"")+IMPORTRANGE(""https://docs.google.com/spreadsheets/d/1uu4nAn4Dbi1XREnLKKotUANlKXa7yCgRcgq8HEzQYW8/edit?usp=sharing"",""พะเยา!I317"")+IMPORTRANGE(""https://docs.google.com/spreadsheets/d/1xfJKIQxVOaPDIICqsflNlL"&amp;"u3JacTDk1FP9RH4phX7mI/edit?usp=sharing"",""พิจิตร!I317"")+IMPORTRANGE(""https://docs.google.com/spreadsheets/d/1JtRfZkJMHtEhI5RdRHxYUG4FIZHqKDpNyIuN7A1Q0_k/edit?usp=sharing"",""พิษณุโลก!I317"")+IMPORTRANGE(""https://docs.google.com/spreadsheets/d/1xlcVZWU"&amp;"Nn6SuWm0c307h32SiGkd9BaeQWlAktfD3KO8/edit?usp=sharing"",""เพชรบูรณ์!I317"")+IMPORTRANGE(""https://docs.google.com/spreadsheets/d/1lOVebEIsI9qjGXl6EX66luk7wiuP2tBaryw-wKvv4e0/edit?usp=sharing"",""แพร่!I317"")+IMPORTRANGE(""https://docs.google.com/spreadshe"&amp;"ets/d/1dQrvX0vEcN7Gu0fnZ0B5S90AeR19zth4XlExFBeExMY/edit?usp=sharing"",""แม่ฮ่องสอน!I317"")+IMPORTRANGE(""https://docs.google.com/spreadsheets/d/1DY4XTNNwjluuxqdfdn6qvOSlMRrZqUtmYcZR0ttFiG4/edit?usp=sharing"",""ลำปาง!I317"")+IMPORTRANGE(""https://docs.goog"&amp;"le.com/spreadsheets/d/1ICwG78r0OFT8biBlxnBF8r7she7gNSzOvJ958PWT09c/edit?usp=sharing"",""ลำพูน!I317"")+IMPORTRANGE(""https://docs.google.com/spreadsheets/d/1B0f2xJpZUC6Z0xXnqKlZtEPzsf6L84eP1r1Q15seqRM/edit?usp=sharing"",""สุโขทัย!I317"")+IMPORTRANGE(""http"&amp;"s://docs.google.com/spreadsheets/d/1v0b9pFQCsKUVExMei7AgY2yQkdeNQvtOssygGsXbiKo/edit?usp=sharing"",""อุตรดิตถ์!I317"")+IMPORTRANGE(""https://docs.google.com/spreadsheets/d/1UsNK1e-WWiCo2PvGqdNfdme4m17_Ezd3J69EeeiQPD0/edit?usp=sharing"",""อุทัยธานี!I317"")"),38)</f>
        <v>38</v>
      </c>
      <c r="J317" s="181">
        <f ca="1">IFERROR(__xludf.DUMMYFUNCTION("IMPORTRANGE(""https://docs.google.com/spreadsheets/d/1jTcq05yEiRwXcBMLjiodW9e4biSGYWAHcDj22rKWQ3s/edit?usp=sharing"",""กำแพงเพชร!J317"")+IMPORTRANGE(""https://docs.google.com/spreadsheets/d/1KS0zmDSZPk8KnTAbGN-Xk6MtX1YRZD0ldgdt20K4CRk/edit?usp=sharing"","&amp;"""เชียงราย!J317"")+IMPORTRANGE(""https://docs.google.com/spreadsheets/d/1rEDxBtusbi64tE0zunoIbsTVV16HeL0oJ6trHQeQ7K8/edit?usp=sharing"",""เชียงใหม่!J317"")+IMPORTRANGE(""https://docs.google.com/spreadsheets/d/1W6MnUbDkMi6xHnHko_XkFDO9kkuL6Wqyc-6OCDFjW9I/e"&amp;"dit?usp=sharing"",""ตาก!J317"")+IMPORTRANGE(""https://docs.google.com/spreadsheets/d/1IQAWArduLkta9LpYo4a_ULsyqdta6-6aDDiwpUnQT6c/edit?usp=sharing"",""นครสวรรค์!J317"")+IMPORTRANGE(""https://docs.google.com/spreadsheets/d/10s13Sk5xrltsiR-Zkbmk5DwIaDIKO8Xl"&amp;"bJAfqyT7Gvg/edit?usp=sharing"",""น่าน!J317"")+IMPORTRANGE(""https://docs.google.com/spreadsheets/d/1uu4nAn4Dbi1XREnLKKotUANlKXa7yCgRcgq8HEzQYW8/edit?usp=sharing"",""พะเยา!J317"")+IMPORTRANGE(""https://docs.google.com/spreadsheets/d/1xfJKIQxVOaPDIICqsflNlL"&amp;"u3JacTDk1FP9RH4phX7mI/edit?usp=sharing"",""พิจิตร!J317"")+IMPORTRANGE(""https://docs.google.com/spreadsheets/d/1JtRfZkJMHtEhI5RdRHxYUG4FIZHqKDpNyIuN7A1Q0_k/edit?usp=sharing"",""พิษณุโลก!J317"")+IMPORTRANGE(""https://docs.google.com/spreadsheets/d/1xlcVZWU"&amp;"Nn6SuWm0c307h32SiGkd9BaeQWlAktfD3KO8/edit?usp=sharing"",""เพชรบูรณ์!J317"")+IMPORTRANGE(""https://docs.google.com/spreadsheets/d/1lOVebEIsI9qjGXl6EX66luk7wiuP2tBaryw-wKvv4e0/edit?usp=sharing"",""แพร่!J317"")+IMPORTRANGE(""https://docs.google.com/spreadshe"&amp;"ets/d/1dQrvX0vEcN7Gu0fnZ0B5S90AeR19zth4XlExFBeExMY/edit?usp=sharing"",""แม่ฮ่องสอน!J317"")+IMPORTRANGE(""https://docs.google.com/spreadsheets/d/1DY4XTNNwjluuxqdfdn6qvOSlMRrZqUtmYcZR0ttFiG4/edit?usp=sharing"",""ลำปาง!J317"")+IMPORTRANGE(""https://docs.goog"&amp;"le.com/spreadsheets/d/1ICwG78r0OFT8biBlxnBF8r7she7gNSzOvJ958PWT09c/edit?usp=sharing"",""ลำพูน!J317"")+IMPORTRANGE(""https://docs.google.com/spreadsheets/d/1B0f2xJpZUC6Z0xXnqKlZtEPzsf6L84eP1r1Q15seqRM/edit?usp=sharing"",""สุโขทัย!J317"")+IMPORTRANGE(""http"&amp;"s://docs.google.com/spreadsheets/d/1v0b9pFQCsKUVExMei7AgY2yQkdeNQvtOssygGsXbiKo/edit?usp=sharing"",""อุตรดิตถ์!J317"")+IMPORTRANGE(""https://docs.google.com/spreadsheets/d/1UsNK1e-WWiCo2PvGqdNfdme4m17_Ezd3J69EeeiQPD0/edit?usp=sharing"",""อุทัยธานี!J317"")"),0)</f>
        <v>0</v>
      </c>
      <c r="K317" s="59">
        <f t="shared" ca="1" si="137"/>
        <v>0</v>
      </c>
      <c r="L317" s="58"/>
      <c r="M317" s="58"/>
      <c r="N317" s="58"/>
      <c r="O317" s="58"/>
      <c r="P317" s="58"/>
    </row>
    <row r="318" spans="1:16" ht="19.5" x14ac:dyDescent="0.3">
      <c r="A318" s="384" t="s">
        <v>124</v>
      </c>
      <c r="B318" s="385"/>
      <c r="C318" s="385"/>
      <c r="D318" s="386"/>
      <c r="E318" s="385"/>
      <c r="F318" s="385"/>
      <c r="G318" s="385"/>
      <c r="H318" s="386"/>
      <c r="I318" s="388"/>
      <c r="J318" s="388"/>
      <c r="K318" s="389"/>
      <c r="L318" s="389"/>
      <c r="M318" s="389"/>
      <c r="N318" s="389"/>
      <c r="O318" s="389"/>
      <c r="P318" s="389"/>
    </row>
    <row r="319" spans="1:16" ht="19.5" x14ac:dyDescent="0.3">
      <c r="A319" s="398"/>
      <c r="B319" s="391" t="s">
        <v>125</v>
      </c>
      <c r="C319" s="399"/>
      <c r="D319" s="400"/>
      <c r="E319" s="392"/>
      <c r="F319" s="392"/>
      <c r="G319" s="393"/>
      <c r="H319" s="394" t="s">
        <v>126</v>
      </c>
      <c r="I319" s="395">
        <f t="shared" ref="I319:J319" ca="1" si="138">I330</f>
        <v>1</v>
      </c>
      <c r="J319" s="395">
        <f t="shared" ca="1" si="138"/>
        <v>0</v>
      </c>
      <c r="K319" s="396">
        <f ca="1">IF(I319&gt;0,J319*100/I319,0)</f>
        <v>0</v>
      </c>
      <c r="L319" s="397"/>
      <c r="M319" s="397"/>
      <c r="N319" s="397"/>
      <c r="O319" s="397"/>
      <c r="P319" s="397"/>
    </row>
    <row r="320" spans="1:16" ht="19.5" x14ac:dyDescent="0.3">
      <c r="A320" s="157"/>
      <c r="B320" s="53"/>
      <c r="C320" s="158" t="s">
        <v>16</v>
      </c>
      <c r="D320" s="159" t="s">
        <v>17</v>
      </c>
      <c r="E320" s="53"/>
      <c r="F320" s="53"/>
      <c r="G320" s="55"/>
      <c r="H320" s="160" t="s">
        <v>12</v>
      </c>
      <c r="I320" s="57"/>
      <c r="J320" s="57"/>
      <c r="K320" s="58"/>
      <c r="L320" s="161">
        <f t="shared" ref="L320:N320" ca="1" si="139">L321+L322</f>
        <v>20000</v>
      </c>
      <c r="M320" s="161">
        <f t="shared" ca="1" si="139"/>
        <v>20000</v>
      </c>
      <c r="N320" s="161">
        <f t="shared" ca="1" si="139"/>
        <v>0</v>
      </c>
      <c r="O320" s="161">
        <f t="shared" ref="O320:O328" ca="1" si="140">IF(L320&gt;0,N320*100/L320,0)</f>
        <v>0</v>
      </c>
      <c r="P320" s="161">
        <f t="shared" ref="P320:P328" ca="1" si="141">IF(M320&gt;0,N320*100/M320,0)</f>
        <v>0</v>
      </c>
    </row>
    <row r="321" spans="1:16" ht="18.75" x14ac:dyDescent="0.25">
      <c r="A321" s="157"/>
      <c r="B321" s="53"/>
      <c r="C321" s="53"/>
      <c r="D321" s="53"/>
      <c r="E321" s="60" t="s">
        <v>18</v>
      </c>
      <c r="F321" s="53"/>
      <c r="G321" s="55"/>
      <c r="H321" s="162" t="s">
        <v>12</v>
      </c>
      <c r="I321" s="57"/>
      <c r="J321" s="57"/>
      <c r="K321" s="58"/>
      <c r="L321" s="59">
        <f t="shared" ref="L321:N321" ca="1" si="142">L324+L327</f>
        <v>0</v>
      </c>
      <c r="M321" s="59">
        <f t="shared" ca="1" si="142"/>
        <v>0</v>
      </c>
      <c r="N321" s="59">
        <f t="shared" ca="1" si="142"/>
        <v>0</v>
      </c>
      <c r="O321" s="59">
        <f t="shared" ca="1" si="140"/>
        <v>0</v>
      </c>
      <c r="P321" s="59">
        <f t="shared" ca="1" si="141"/>
        <v>0</v>
      </c>
    </row>
    <row r="322" spans="1:16" ht="18.75" x14ac:dyDescent="0.25">
      <c r="A322" s="157"/>
      <c r="B322" s="53"/>
      <c r="C322" s="53"/>
      <c r="D322" s="53"/>
      <c r="E322" s="60" t="s">
        <v>19</v>
      </c>
      <c r="F322" s="53"/>
      <c r="G322" s="55"/>
      <c r="H322" s="162" t="s">
        <v>12</v>
      </c>
      <c r="I322" s="57"/>
      <c r="J322" s="57"/>
      <c r="K322" s="58"/>
      <c r="L322" s="59">
        <f t="shared" ref="L322:N322" ca="1" si="143">L325+L328</f>
        <v>20000</v>
      </c>
      <c r="M322" s="59">
        <f t="shared" ca="1" si="143"/>
        <v>20000</v>
      </c>
      <c r="N322" s="59">
        <f t="shared" ca="1" si="143"/>
        <v>0</v>
      </c>
      <c r="O322" s="59">
        <f t="shared" ca="1" si="140"/>
        <v>0</v>
      </c>
      <c r="P322" s="59">
        <f t="shared" ca="1" si="141"/>
        <v>0</v>
      </c>
    </row>
    <row r="323" spans="1:16" ht="18.75" x14ac:dyDescent="0.25">
      <c r="A323" s="157"/>
      <c r="B323" s="53"/>
      <c r="C323" s="53"/>
      <c r="D323" s="54" t="s">
        <v>20</v>
      </c>
      <c r="E323" s="53"/>
      <c r="F323" s="53"/>
      <c r="G323" s="55"/>
      <c r="H323" s="163" t="s">
        <v>12</v>
      </c>
      <c r="I323" s="164"/>
      <c r="J323" s="164"/>
      <c r="K323" s="165"/>
      <c r="L323" s="59">
        <f t="shared" ref="L323:N323" ca="1" si="144">L324+L325</f>
        <v>20000</v>
      </c>
      <c r="M323" s="59">
        <f t="shared" ca="1" si="144"/>
        <v>20000</v>
      </c>
      <c r="N323" s="59">
        <f t="shared" ca="1" si="144"/>
        <v>0</v>
      </c>
      <c r="O323" s="59">
        <f t="shared" ca="1" si="140"/>
        <v>0</v>
      </c>
      <c r="P323" s="59">
        <f t="shared" ca="1" si="141"/>
        <v>0</v>
      </c>
    </row>
    <row r="324" spans="1:16" ht="18.75" x14ac:dyDescent="0.25">
      <c r="A324" s="157"/>
      <c r="B324" s="53"/>
      <c r="C324" s="53"/>
      <c r="D324" s="53"/>
      <c r="E324" s="60" t="s">
        <v>34</v>
      </c>
      <c r="F324" s="53"/>
      <c r="G324" s="55"/>
      <c r="H324" s="163" t="s">
        <v>12</v>
      </c>
      <c r="I324" s="164"/>
      <c r="J324" s="164"/>
      <c r="K324" s="165"/>
      <c r="L324" s="59">
        <f ca="1">IFERROR(__xludf.DUMMYFUNCTION("IMPORTRANGE(""https://docs.google.com/spreadsheets/d/1jTcq05yEiRwXcBMLjiodW9e4biSGYWAHcDj22rKWQ3s/edit?usp=sharing"",""กำแพงเพชร!L324"")+IMPORTRANGE(""https://docs.google.com/spreadsheets/d/1KS0zmDSZPk8KnTAbGN-Xk6MtX1YRZD0ldgdt20K4CRk/edit?usp=sharing"","&amp;"""เชียงราย!L324"")+IMPORTRANGE(""https://docs.google.com/spreadsheets/d/1rEDxBtusbi64tE0zunoIbsTVV16HeL0oJ6trHQeQ7K8/edit?usp=sharing"",""เชียงใหม่!L324"")+IMPORTRANGE(""https://docs.google.com/spreadsheets/d/1W6MnUbDkMi6xHnHko_XkFDO9kkuL6Wqyc-6OCDFjW9I/e"&amp;"dit?usp=sharing"",""ตาก!L324"")+IMPORTRANGE(""https://docs.google.com/spreadsheets/d/1IQAWArduLkta9LpYo4a_ULsyqdta6-6aDDiwpUnQT6c/edit?usp=sharing"",""นครสวรรค์!L324"")+IMPORTRANGE(""https://docs.google.com/spreadsheets/d/10s13Sk5xrltsiR-Zkbmk5DwIaDIKO8Xl"&amp;"bJAfqyT7Gvg/edit?usp=sharing"",""น่าน!L324"")+IMPORTRANGE(""https://docs.google.com/spreadsheets/d/1uu4nAn4Dbi1XREnLKKotUANlKXa7yCgRcgq8HEzQYW8/edit?usp=sharing"",""พะเยา!L324"")+IMPORTRANGE(""https://docs.google.com/spreadsheets/d/1xfJKIQxVOaPDIICqsflNlL"&amp;"u3JacTDk1FP9RH4phX7mI/edit?usp=sharing"",""พิจิตร!L324"")+IMPORTRANGE(""https://docs.google.com/spreadsheets/d/1JtRfZkJMHtEhI5RdRHxYUG4FIZHqKDpNyIuN7A1Q0_k/edit?usp=sharing"",""พิษณุโลก!L324"")+IMPORTRANGE(""https://docs.google.com/spreadsheets/d/1xlcVZWU"&amp;"Nn6SuWm0c307h32SiGkd9BaeQWlAktfD3KO8/edit?usp=sharing"",""เพชรบูรณ์!L324"")+IMPORTRANGE(""https://docs.google.com/spreadsheets/d/1lOVebEIsI9qjGXl6EX66luk7wiuP2tBaryw-wKvv4e0/edit?usp=sharing"",""แพร่!L324"")+IMPORTRANGE(""https://docs.google.com/spreadshe"&amp;"ets/d/1dQrvX0vEcN7Gu0fnZ0B5S90AeR19zth4XlExFBeExMY/edit?usp=sharing"",""แม่ฮ่องสอน!L324"")+IMPORTRANGE(""https://docs.google.com/spreadsheets/d/1DY4XTNNwjluuxqdfdn6qvOSlMRrZqUtmYcZR0ttFiG4/edit?usp=sharing"",""ลำปาง!L324"")+IMPORTRANGE(""https://docs.goog"&amp;"le.com/spreadsheets/d/1ICwG78r0OFT8biBlxnBF8r7she7gNSzOvJ958PWT09c/edit?usp=sharing"",""ลำพูน!L324"")+IMPORTRANGE(""https://docs.google.com/spreadsheets/d/1B0f2xJpZUC6Z0xXnqKlZtEPzsf6L84eP1r1Q15seqRM/edit?usp=sharing"",""สุโขทัย!L324"")+IMPORTRANGE(""http"&amp;"s://docs.google.com/spreadsheets/d/1v0b9pFQCsKUVExMei7AgY2yQkdeNQvtOssygGsXbiKo/edit?usp=sharing"",""อุตรดิตถ์!L324"")+IMPORTRANGE(""https://docs.google.com/spreadsheets/d/1UsNK1e-WWiCo2PvGqdNfdme4m17_Ezd3J69EeeiQPD0/edit?usp=sharing"",""อุทัยธานี!L324"")"),0)</f>
        <v>0</v>
      </c>
      <c r="M324" s="59">
        <f ca="1">IFERROR(__xludf.DUMMYFUNCTION("IMPORTRANGE(""https://docs.google.com/spreadsheets/d/1jTcq05yEiRwXcBMLjiodW9e4biSGYWAHcDj22rKWQ3s/edit?usp=sharing"",""กำแพงเพชร!M324"")+IMPORTRANGE(""https://docs.google.com/spreadsheets/d/1KS0zmDSZPk8KnTAbGN-Xk6MtX1YRZD0ldgdt20K4CRk/edit?usp=sharing"","&amp;"""เชียงราย!M324"")+IMPORTRANGE(""https://docs.google.com/spreadsheets/d/1rEDxBtusbi64tE0zunoIbsTVV16HeL0oJ6trHQeQ7K8/edit?usp=sharing"",""เชียงใหม่!M324"")+IMPORTRANGE(""https://docs.google.com/spreadsheets/d/1W6MnUbDkMi6xHnHko_XkFDO9kkuL6Wqyc-6OCDFjW9I/e"&amp;"dit?usp=sharing"",""ตาก!M324"")+IMPORTRANGE(""https://docs.google.com/spreadsheets/d/1IQAWArduLkta9LpYo4a_ULsyqdta6-6aDDiwpUnQT6c/edit?usp=sharing"",""นครสวรรค์!M324"")+IMPORTRANGE(""https://docs.google.com/spreadsheets/d/10s13Sk5xrltsiR-Zkbmk5DwIaDIKO8Xl"&amp;"bJAfqyT7Gvg/edit?usp=sharing"",""น่าน!M324"")+IMPORTRANGE(""https://docs.google.com/spreadsheets/d/1uu4nAn4Dbi1XREnLKKotUANlKXa7yCgRcgq8HEzQYW8/edit?usp=sharing"",""พะเยา!M324"")+IMPORTRANGE(""https://docs.google.com/spreadsheets/d/1xfJKIQxVOaPDIICqsflNlL"&amp;"u3JacTDk1FP9RH4phX7mI/edit?usp=sharing"",""พิจิตร!M324"")+IMPORTRANGE(""https://docs.google.com/spreadsheets/d/1JtRfZkJMHtEhI5RdRHxYUG4FIZHqKDpNyIuN7A1Q0_k/edit?usp=sharing"",""พิษณุโลก!M324"")+IMPORTRANGE(""https://docs.google.com/spreadsheets/d/1xlcVZWU"&amp;"Nn6SuWm0c307h32SiGkd9BaeQWlAktfD3KO8/edit?usp=sharing"",""เพชรบูรณ์!M324"")+IMPORTRANGE(""https://docs.google.com/spreadsheets/d/1lOVebEIsI9qjGXl6EX66luk7wiuP2tBaryw-wKvv4e0/edit?usp=sharing"",""แพร่!M324"")+IMPORTRANGE(""https://docs.google.com/spreadshe"&amp;"ets/d/1dQrvX0vEcN7Gu0fnZ0B5S90AeR19zth4XlExFBeExMY/edit?usp=sharing"",""แม่ฮ่องสอน!M324"")+IMPORTRANGE(""https://docs.google.com/spreadsheets/d/1DY4XTNNwjluuxqdfdn6qvOSlMRrZqUtmYcZR0ttFiG4/edit?usp=sharing"",""ลำปาง!M324"")+IMPORTRANGE(""https://docs.goog"&amp;"le.com/spreadsheets/d/1ICwG78r0OFT8biBlxnBF8r7she7gNSzOvJ958PWT09c/edit?usp=sharing"",""ลำพูน!M324"")+IMPORTRANGE(""https://docs.google.com/spreadsheets/d/1B0f2xJpZUC6Z0xXnqKlZtEPzsf6L84eP1r1Q15seqRM/edit?usp=sharing"",""สุโขทัย!M324"")+IMPORTRANGE(""http"&amp;"s://docs.google.com/spreadsheets/d/1v0b9pFQCsKUVExMei7AgY2yQkdeNQvtOssygGsXbiKo/edit?usp=sharing"",""อุตรดิตถ์!M324"")+IMPORTRANGE(""https://docs.google.com/spreadsheets/d/1UsNK1e-WWiCo2PvGqdNfdme4m17_Ezd3J69EeeiQPD0/edit?usp=sharing"",""อุทัยธานี!M324"")"),0)</f>
        <v>0</v>
      </c>
      <c r="N324" s="59">
        <f ca="1">IFERROR(__xludf.DUMMYFUNCTION("IMPORTRANGE(""https://docs.google.com/spreadsheets/d/1jTcq05yEiRwXcBMLjiodW9e4biSGYWAHcDj22rKWQ3s/edit?usp=sharing"",""กำแพงเพชร!N324"")+IMPORTRANGE(""https://docs.google.com/spreadsheets/d/1KS0zmDSZPk8KnTAbGN-Xk6MtX1YRZD0ldgdt20K4CRk/edit?usp=sharing"","&amp;"""เชียงราย!N324"")+IMPORTRANGE(""https://docs.google.com/spreadsheets/d/1rEDxBtusbi64tE0zunoIbsTVV16HeL0oJ6trHQeQ7K8/edit?usp=sharing"",""เชียงใหม่!N324"")+IMPORTRANGE(""https://docs.google.com/spreadsheets/d/1W6MnUbDkMi6xHnHko_XkFDO9kkuL6Wqyc-6OCDFjW9I/e"&amp;"dit?usp=sharing"",""ตาก!N324"")+IMPORTRANGE(""https://docs.google.com/spreadsheets/d/1IQAWArduLkta9LpYo4a_ULsyqdta6-6aDDiwpUnQT6c/edit?usp=sharing"",""นครสวรรค์!N324"")+IMPORTRANGE(""https://docs.google.com/spreadsheets/d/10s13Sk5xrltsiR-Zkbmk5DwIaDIKO8Xl"&amp;"bJAfqyT7Gvg/edit?usp=sharing"",""น่าน!N324"")+IMPORTRANGE(""https://docs.google.com/spreadsheets/d/1uu4nAn4Dbi1XREnLKKotUANlKXa7yCgRcgq8HEzQYW8/edit?usp=sharing"",""พะเยา!N324"")+IMPORTRANGE(""https://docs.google.com/spreadsheets/d/1xfJKIQxVOaPDIICqsflNlL"&amp;"u3JacTDk1FP9RH4phX7mI/edit?usp=sharing"",""พิจิตร!N324"")+IMPORTRANGE(""https://docs.google.com/spreadsheets/d/1JtRfZkJMHtEhI5RdRHxYUG4FIZHqKDpNyIuN7A1Q0_k/edit?usp=sharing"",""พิษณุโลก!N324"")+IMPORTRANGE(""https://docs.google.com/spreadsheets/d/1xlcVZWU"&amp;"Nn6SuWm0c307h32SiGkd9BaeQWlAktfD3KO8/edit?usp=sharing"",""เพชรบูรณ์!N324"")+IMPORTRANGE(""https://docs.google.com/spreadsheets/d/1lOVebEIsI9qjGXl6EX66luk7wiuP2tBaryw-wKvv4e0/edit?usp=sharing"",""แพร่!N324"")+IMPORTRANGE(""https://docs.google.com/spreadshe"&amp;"ets/d/1dQrvX0vEcN7Gu0fnZ0B5S90AeR19zth4XlExFBeExMY/edit?usp=sharing"",""แม่ฮ่องสอน!N324"")+IMPORTRANGE(""https://docs.google.com/spreadsheets/d/1DY4XTNNwjluuxqdfdn6qvOSlMRrZqUtmYcZR0ttFiG4/edit?usp=sharing"",""ลำปาง!N324"")+IMPORTRANGE(""https://docs.goog"&amp;"le.com/spreadsheets/d/1ICwG78r0OFT8biBlxnBF8r7she7gNSzOvJ958PWT09c/edit?usp=sharing"",""ลำพูน!N324"")+IMPORTRANGE(""https://docs.google.com/spreadsheets/d/1B0f2xJpZUC6Z0xXnqKlZtEPzsf6L84eP1r1Q15seqRM/edit?usp=sharing"",""สุโขทัย!N324"")+IMPORTRANGE(""http"&amp;"s://docs.google.com/spreadsheets/d/1v0b9pFQCsKUVExMei7AgY2yQkdeNQvtOssygGsXbiKo/edit?usp=sharing"",""อุตรดิตถ์!N324"")+IMPORTRANGE(""https://docs.google.com/spreadsheets/d/1UsNK1e-WWiCo2PvGqdNfdme4m17_Ezd3J69EeeiQPD0/edit?usp=sharing"",""อุทัยธานี!N324"")"),0)</f>
        <v>0</v>
      </c>
      <c r="O324" s="59">
        <f t="shared" ca="1" si="140"/>
        <v>0</v>
      </c>
      <c r="P324" s="59">
        <f t="shared" ca="1" si="141"/>
        <v>0</v>
      </c>
    </row>
    <row r="325" spans="1:16" ht="18.75" x14ac:dyDescent="0.25">
      <c r="A325" s="157"/>
      <c r="B325" s="53"/>
      <c r="C325" s="53"/>
      <c r="D325" s="53"/>
      <c r="E325" s="60" t="s">
        <v>35</v>
      </c>
      <c r="F325" s="53"/>
      <c r="G325" s="55"/>
      <c r="H325" s="163" t="s">
        <v>12</v>
      </c>
      <c r="I325" s="164"/>
      <c r="J325" s="164"/>
      <c r="K325" s="165"/>
      <c r="L325" s="59">
        <f ca="1">IFERROR(__xludf.DUMMYFUNCTION("IMPORTRANGE(""https://docs.google.com/spreadsheets/d/1jTcq05yEiRwXcBMLjiodW9e4biSGYWAHcDj22rKWQ3s/edit?usp=sharing"",""กำแพงเพชร!L325"")+IMPORTRANGE(""https://docs.google.com/spreadsheets/d/1KS0zmDSZPk8KnTAbGN-Xk6MtX1YRZD0ldgdt20K4CRk/edit?usp=sharing"","&amp;"""เชียงราย!L325"")+IMPORTRANGE(""https://docs.google.com/spreadsheets/d/1rEDxBtusbi64tE0zunoIbsTVV16HeL0oJ6trHQeQ7K8/edit?usp=sharing"",""เชียงใหม่!L325"")+IMPORTRANGE(""https://docs.google.com/spreadsheets/d/1W6MnUbDkMi6xHnHko_XkFDO9kkuL6Wqyc-6OCDFjW9I/e"&amp;"dit?usp=sharing"",""ตาก!L325"")+IMPORTRANGE(""https://docs.google.com/spreadsheets/d/1IQAWArduLkta9LpYo4a_ULsyqdta6-6aDDiwpUnQT6c/edit?usp=sharing"",""นครสวรรค์!L325"")+IMPORTRANGE(""https://docs.google.com/spreadsheets/d/10s13Sk5xrltsiR-Zkbmk5DwIaDIKO8Xl"&amp;"bJAfqyT7Gvg/edit?usp=sharing"",""น่าน!L325"")+IMPORTRANGE(""https://docs.google.com/spreadsheets/d/1uu4nAn4Dbi1XREnLKKotUANlKXa7yCgRcgq8HEzQYW8/edit?usp=sharing"",""พะเยา!L325"")+IMPORTRANGE(""https://docs.google.com/spreadsheets/d/1xfJKIQxVOaPDIICqsflNlL"&amp;"u3JacTDk1FP9RH4phX7mI/edit?usp=sharing"",""พิจิตร!L325"")+IMPORTRANGE(""https://docs.google.com/spreadsheets/d/1JtRfZkJMHtEhI5RdRHxYUG4FIZHqKDpNyIuN7A1Q0_k/edit?usp=sharing"",""พิษณุโลก!L325"")+IMPORTRANGE(""https://docs.google.com/spreadsheets/d/1xlcVZWU"&amp;"Nn6SuWm0c307h32SiGkd9BaeQWlAktfD3KO8/edit?usp=sharing"",""เพชรบูรณ์!L325"")+IMPORTRANGE(""https://docs.google.com/spreadsheets/d/1lOVebEIsI9qjGXl6EX66luk7wiuP2tBaryw-wKvv4e0/edit?usp=sharing"",""แพร่!L325"")+IMPORTRANGE(""https://docs.google.com/spreadshe"&amp;"ets/d/1dQrvX0vEcN7Gu0fnZ0B5S90AeR19zth4XlExFBeExMY/edit?usp=sharing"",""แม่ฮ่องสอน!L325"")+IMPORTRANGE(""https://docs.google.com/spreadsheets/d/1DY4XTNNwjluuxqdfdn6qvOSlMRrZqUtmYcZR0ttFiG4/edit?usp=sharing"",""ลำปาง!L325"")+IMPORTRANGE(""https://docs.goog"&amp;"le.com/spreadsheets/d/1ICwG78r0OFT8biBlxnBF8r7she7gNSzOvJ958PWT09c/edit?usp=sharing"",""ลำพูน!L325"")+IMPORTRANGE(""https://docs.google.com/spreadsheets/d/1B0f2xJpZUC6Z0xXnqKlZtEPzsf6L84eP1r1Q15seqRM/edit?usp=sharing"",""สุโขทัย!L325"")+IMPORTRANGE(""http"&amp;"s://docs.google.com/spreadsheets/d/1v0b9pFQCsKUVExMei7AgY2yQkdeNQvtOssygGsXbiKo/edit?usp=sharing"",""อุตรดิตถ์!L325"")+IMPORTRANGE(""https://docs.google.com/spreadsheets/d/1UsNK1e-WWiCo2PvGqdNfdme4m17_Ezd3J69EeeiQPD0/edit?usp=sharing"",""อุทัยธานี!L325"")"),20000)</f>
        <v>20000</v>
      </c>
      <c r="M325" s="59">
        <f ca="1">IFERROR(__xludf.DUMMYFUNCTION("IMPORTRANGE(""https://docs.google.com/spreadsheets/d/1jTcq05yEiRwXcBMLjiodW9e4biSGYWAHcDj22rKWQ3s/edit?usp=sharing"",""กำแพงเพชร!M325"")+IMPORTRANGE(""https://docs.google.com/spreadsheets/d/1KS0zmDSZPk8KnTAbGN-Xk6MtX1YRZD0ldgdt20K4CRk/edit?usp=sharing"","&amp;"""เชียงราย!M325"")+IMPORTRANGE(""https://docs.google.com/spreadsheets/d/1rEDxBtusbi64tE0zunoIbsTVV16HeL0oJ6trHQeQ7K8/edit?usp=sharing"",""เชียงใหม่!M325"")+IMPORTRANGE(""https://docs.google.com/spreadsheets/d/1W6MnUbDkMi6xHnHko_XkFDO9kkuL6Wqyc-6OCDFjW9I/e"&amp;"dit?usp=sharing"",""ตาก!M325"")+IMPORTRANGE(""https://docs.google.com/spreadsheets/d/1IQAWArduLkta9LpYo4a_ULsyqdta6-6aDDiwpUnQT6c/edit?usp=sharing"",""นครสวรรค์!M325"")+IMPORTRANGE(""https://docs.google.com/spreadsheets/d/10s13Sk5xrltsiR-Zkbmk5DwIaDIKO8Xl"&amp;"bJAfqyT7Gvg/edit?usp=sharing"",""น่าน!M325"")+IMPORTRANGE(""https://docs.google.com/spreadsheets/d/1uu4nAn4Dbi1XREnLKKotUANlKXa7yCgRcgq8HEzQYW8/edit?usp=sharing"",""พะเยา!M325"")+IMPORTRANGE(""https://docs.google.com/spreadsheets/d/1xfJKIQxVOaPDIICqsflNlL"&amp;"u3JacTDk1FP9RH4phX7mI/edit?usp=sharing"",""พิจิตร!M325"")+IMPORTRANGE(""https://docs.google.com/spreadsheets/d/1JtRfZkJMHtEhI5RdRHxYUG4FIZHqKDpNyIuN7A1Q0_k/edit?usp=sharing"",""พิษณุโลก!M325"")+IMPORTRANGE(""https://docs.google.com/spreadsheets/d/1xlcVZWU"&amp;"Nn6SuWm0c307h32SiGkd9BaeQWlAktfD3KO8/edit?usp=sharing"",""เพชรบูรณ์!M325"")+IMPORTRANGE(""https://docs.google.com/spreadsheets/d/1lOVebEIsI9qjGXl6EX66luk7wiuP2tBaryw-wKvv4e0/edit?usp=sharing"",""แพร่!M325"")+IMPORTRANGE(""https://docs.google.com/spreadshe"&amp;"ets/d/1dQrvX0vEcN7Gu0fnZ0B5S90AeR19zth4XlExFBeExMY/edit?usp=sharing"",""แม่ฮ่องสอน!M325"")+IMPORTRANGE(""https://docs.google.com/spreadsheets/d/1DY4XTNNwjluuxqdfdn6qvOSlMRrZqUtmYcZR0ttFiG4/edit?usp=sharing"",""ลำปาง!M325"")+IMPORTRANGE(""https://docs.goog"&amp;"le.com/spreadsheets/d/1ICwG78r0OFT8biBlxnBF8r7she7gNSzOvJ958PWT09c/edit?usp=sharing"",""ลำพูน!M325"")+IMPORTRANGE(""https://docs.google.com/spreadsheets/d/1B0f2xJpZUC6Z0xXnqKlZtEPzsf6L84eP1r1Q15seqRM/edit?usp=sharing"",""สุโขทัย!M325"")+IMPORTRANGE(""http"&amp;"s://docs.google.com/spreadsheets/d/1v0b9pFQCsKUVExMei7AgY2yQkdeNQvtOssygGsXbiKo/edit?usp=sharing"",""อุตรดิตถ์!M325"")+IMPORTRANGE(""https://docs.google.com/spreadsheets/d/1UsNK1e-WWiCo2PvGqdNfdme4m17_Ezd3J69EeeiQPD0/edit?usp=sharing"",""อุทัยธานี!M325"")"),20000)</f>
        <v>20000</v>
      </c>
      <c r="N325" s="59">
        <f ca="1">IFERROR(__xludf.DUMMYFUNCTION("IMPORTRANGE(""https://docs.google.com/spreadsheets/d/1jTcq05yEiRwXcBMLjiodW9e4biSGYWAHcDj22rKWQ3s/edit?usp=sharing"",""กำแพงเพชร!N325"")+IMPORTRANGE(""https://docs.google.com/spreadsheets/d/1KS0zmDSZPk8KnTAbGN-Xk6MtX1YRZD0ldgdt20K4CRk/edit?usp=sharing"","&amp;"""เชียงราย!N325"")+IMPORTRANGE(""https://docs.google.com/spreadsheets/d/1rEDxBtusbi64tE0zunoIbsTVV16HeL0oJ6trHQeQ7K8/edit?usp=sharing"",""เชียงใหม่!N325"")+IMPORTRANGE(""https://docs.google.com/spreadsheets/d/1W6MnUbDkMi6xHnHko_XkFDO9kkuL6Wqyc-6OCDFjW9I/e"&amp;"dit?usp=sharing"",""ตาก!N325"")+IMPORTRANGE(""https://docs.google.com/spreadsheets/d/1IQAWArduLkta9LpYo4a_ULsyqdta6-6aDDiwpUnQT6c/edit?usp=sharing"",""นครสวรรค์!N325"")+IMPORTRANGE(""https://docs.google.com/spreadsheets/d/10s13Sk5xrltsiR-Zkbmk5DwIaDIKO8Xl"&amp;"bJAfqyT7Gvg/edit?usp=sharing"",""น่าน!N325"")+IMPORTRANGE(""https://docs.google.com/spreadsheets/d/1uu4nAn4Dbi1XREnLKKotUANlKXa7yCgRcgq8HEzQYW8/edit?usp=sharing"",""พะเยา!N325"")+IMPORTRANGE(""https://docs.google.com/spreadsheets/d/1xfJKIQxVOaPDIICqsflNlL"&amp;"u3JacTDk1FP9RH4phX7mI/edit?usp=sharing"",""พิจิตร!N325"")+IMPORTRANGE(""https://docs.google.com/spreadsheets/d/1JtRfZkJMHtEhI5RdRHxYUG4FIZHqKDpNyIuN7A1Q0_k/edit?usp=sharing"",""พิษณุโลก!N325"")+IMPORTRANGE(""https://docs.google.com/spreadsheets/d/1xlcVZWU"&amp;"Nn6SuWm0c307h32SiGkd9BaeQWlAktfD3KO8/edit?usp=sharing"",""เพชรบูรณ์!N325"")+IMPORTRANGE(""https://docs.google.com/spreadsheets/d/1lOVebEIsI9qjGXl6EX66luk7wiuP2tBaryw-wKvv4e0/edit?usp=sharing"",""แพร่!N325"")+IMPORTRANGE(""https://docs.google.com/spreadshe"&amp;"ets/d/1dQrvX0vEcN7Gu0fnZ0B5S90AeR19zth4XlExFBeExMY/edit?usp=sharing"",""แม่ฮ่องสอน!N325"")+IMPORTRANGE(""https://docs.google.com/spreadsheets/d/1DY4XTNNwjluuxqdfdn6qvOSlMRrZqUtmYcZR0ttFiG4/edit?usp=sharing"",""ลำปาง!N325"")+IMPORTRANGE(""https://docs.goog"&amp;"le.com/spreadsheets/d/1ICwG78r0OFT8biBlxnBF8r7she7gNSzOvJ958PWT09c/edit?usp=sharing"",""ลำพูน!N325"")+IMPORTRANGE(""https://docs.google.com/spreadsheets/d/1B0f2xJpZUC6Z0xXnqKlZtEPzsf6L84eP1r1Q15seqRM/edit?usp=sharing"",""สุโขทัย!N325"")+IMPORTRANGE(""http"&amp;"s://docs.google.com/spreadsheets/d/1v0b9pFQCsKUVExMei7AgY2yQkdeNQvtOssygGsXbiKo/edit?usp=sharing"",""อุตรดิตถ์!N325"")+IMPORTRANGE(""https://docs.google.com/spreadsheets/d/1UsNK1e-WWiCo2PvGqdNfdme4m17_Ezd3J69EeeiQPD0/edit?usp=sharing"",""อุทัยธานี!N325"")"),0)</f>
        <v>0</v>
      </c>
      <c r="O325" s="59">
        <f t="shared" ca="1" si="140"/>
        <v>0</v>
      </c>
      <c r="P325" s="59">
        <f t="shared" ca="1" si="141"/>
        <v>0</v>
      </c>
    </row>
    <row r="326" spans="1:16" ht="18.75" x14ac:dyDescent="0.25">
      <c r="A326" s="157"/>
      <c r="B326" s="53"/>
      <c r="C326" s="53"/>
      <c r="D326" s="54" t="s">
        <v>21</v>
      </c>
      <c r="E326" s="53"/>
      <c r="F326" s="53"/>
      <c r="G326" s="55"/>
      <c r="H326" s="166" t="s">
        <v>12</v>
      </c>
      <c r="I326" s="164"/>
      <c r="J326" s="164"/>
      <c r="K326" s="165"/>
      <c r="L326" s="59">
        <f t="shared" ref="L326:N326" ca="1" si="145">L327+L328</f>
        <v>0</v>
      </c>
      <c r="M326" s="59">
        <f t="shared" ca="1" si="145"/>
        <v>0</v>
      </c>
      <c r="N326" s="59">
        <f t="shared" ca="1" si="145"/>
        <v>0</v>
      </c>
      <c r="O326" s="59">
        <f t="shared" ca="1" si="140"/>
        <v>0</v>
      </c>
      <c r="P326" s="59">
        <f t="shared" ca="1" si="141"/>
        <v>0</v>
      </c>
    </row>
    <row r="327" spans="1:16" ht="18.75" x14ac:dyDescent="0.25">
      <c r="A327" s="157"/>
      <c r="B327" s="53"/>
      <c r="C327" s="53"/>
      <c r="D327" s="53"/>
      <c r="E327" s="60" t="s">
        <v>18</v>
      </c>
      <c r="F327" s="53"/>
      <c r="G327" s="55"/>
      <c r="H327" s="163" t="s">
        <v>12</v>
      </c>
      <c r="I327" s="164"/>
      <c r="J327" s="164"/>
      <c r="K327" s="165"/>
      <c r="L327" s="59">
        <f ca="1">IFERROR(__xludf.DUMMYFUNCTION("IMPORTRANGE(""https://docs.google.com/spreadsheets/d/1jTcq05yEiRwXcBMLjiodW9e4biSGYWAHcDj22rKWQ3s/edit?usp=sharing"",""กำแพงเพชร!L327"")+IMPORTRANGE(""https://docs.google.com/spreadsheets/d/1KS0zmDSZPk8KnTAbGN-Xk6MtX1YRZD0ldgdt20K4CRk/edit?usp=sharing"","&amp;"""เชียงราย!L327"")+IMPORTRANGE(""https://docs.google.com/spreadsheets/d/1rEDxBtusbi64tE0zunoIbsTVV16HeL0oJ6trHQeQ7K8/edit?usp=sharing"",""เชียงใหม่!L327"")+IMPORTRANGE(""https://docs.google.com/spreadsheets/d/1W6MnUbDkMi6xHnHko_XkFDO9kkuL6Wqyc-6OCDFjW9I/e"&amp;"dit?usp=sharing"",""ตาก!L327"")+IMPORTRANGE(""https://docs.google.com/spreadsheets/d/1IQAWArduLkta9LpYo4a_ULsyqdta6-6aDDiwpUnQT6c/edit?usp=sharing"",""นครสวรรค์!L327"")+IMPORTRANGE(""https://docs.google.com/spreadsheets/d/10s13Sk5xrltsiR-Zkbmk5DwIaDIKO8Xl"&amp;"bJAfqyT7Gvg/edit?usp=sharing"",""น่าน!L327"")+IMPORTRANGE(""https://docs.google.com/spreadsheets/d/1uu4nAn4Dbi1XREnLKKotUANlKXa7yCgRcgq8HEzQYW8/edit?usp=sharing"",""พะเยา!L327"")+IMPORTRANGE(""https://docs.google.com/spreadsheets/d/1xfJKIQxVOaPDIICqsflNlL"&amp;"u3JacTDk1FP9RH4phX7mI/edit?usp=sharing"",""พิจิตร!L327"")+IMPORTRANGE(""https://docs.google.com/spreadsheets/d/1JtRfZkJMHtEhI5RdRHxYUG4FIZHqKDpNyIuN7A1Q0_k/edit?usp=sharing"",""พิษณุโลก!L327"")+IMPORTRANGE(""https://docs.google.com/spreadsheets/d/1xlcVZWU"&amp;"Nn6SuWm0c307h32SiGkd9BaeQWlAktfD3KO8/edit?usp=sharing"",""เพชรบูรณ์!L327"")+IMPORTRANGE(""https://docs.google.com/spreadsheets/d/1lOVebEIsI9qjGXl6EX66luk7wiuP2tBaryw-wKvv4e0/edit?usp=sharing"",""แพร่!L327"")+IMPORTRANGE(""https://docs.google.com/spreadshe"&amp;"ets/d/1dQrvX0vEcN7Gu0fnZ0B5S90AeR19zth4XlExFBeExMY/edit?usp=sharing"",""แม่ฮ่องสอน!L327"")+IMPORTRANGE(""https://docs.google.com/spreadsheets/d/1DY4XTNNwjluuxqdfdn6qvOSlMRrZqUtmYcZR0ttFiG4/edit?usp=sharing"",""ลำปาง!L327"")+IMPORTRANGE(""https://docs.goog"&amp;"le.com/spreadsheets/d/1ICwG78r0OFT8biBlxnBF8r7she7gNSzOvJ958PWT09c/edit?usp=sharing"",""ลำพูน!L327"")+IMPORTRANGE(""https://docs.google.com/spreadsheets/d/1B0f2xJpZUC6Z0xXnqKlZtEPzsf6L84eP1r1Q15seqRM/edit?usp=sharing"",""สุโขทัย!L327"")+IMPORTRANGE(""http"&amp;"s://docs.google.com/spreadsheets/d/1v0b9pFQCsKUVExMei7AgY2yQkdeNQvtOssygGsXbiKo/edit?usp=sharing"",""อุตรดิตถ์!L327"")+IMPORTRANGE(""https://docs.google.com/spreadsheets/d/1UsNK1e-WWiCo2PvGqdNfdme4m17_Ezd3J69EeeiQPD0/edit?usp=sharing"",""อุทัยธานี!L327"")"),0)</f>
        <v>0</v>
      </c>
      <c r="M327" s="59">
        <f ca="1">IFERROR(__xludf.DUMMYFUNCTION("IMPORTRANGE(""https://docs.google.com/spreadsheets/d/1jTcq05yEiRwXcBMLjiodW9e4biSGYWAHcDj22rKWQ3s/edit?usp=sharing"",""กำแพงเพชร!M327"")+IMPORTRANGE(""https://docs.google.com/spreadsheets/d/1KS0zmDSZPk8KnTAbGN-Xk6MtX1YRZD0ldgdt20K4CRk/edit?usp=sharing"","&amp;"""เชียงราย!M327"")+IMPORTRANGE(""https://docs.google.com/spreadsheets/d/1rEDxBtusbi64tE0zunoIbsTVV16HeL0oJ6trHQeQ7K8/edit?usp=sharing"",""เชียงใหม่!M327"")+IMPORTRANGE(""https://docs.google.com/spreadsheets/d/1W6MnUbDkMi6xHnHko_XkFDO9kkuL6Wqyc-6OCDFjW9I/e"&amp;"dit?usp=sharing"",""ตาก!M327"")+IMPORTRANGE(""https://docs.google.com/spreadsheets/d/1IQAWArduLkta9LpYo4a_ULsyqdta6-6aDDiwpUnQT6c/edit?usp=sharing"",""นครสวรรค์!M327"")+IMPORTRANGE(""https://docs.google.com/spreadsheets/d/10s13Sk5xrltsiR-Zkbmk5DwIaDIKO8Xl"&amp;"bJAfqyT7Gvg/edit?usp=sharing"",""น่าน!M327"")+IMPORTRANGE(""https://docs.google.com/spreadsheets/d/1uu4nAn4Dbi1XREnLKKotUANlKXa7yCgRcgq8HEzQYW8/edit?usp=sharing"",""พะเยา!M327"")+IMPORTRANGE(""https://docs.google.com/spreadsheets/d/1xfJKIQxVOaPDIICqsflNlL"&amp;"u3JacTDk1FP9RH4phX7mI/edit?usp=sharing"",""พิจิตร!M327"")+IMPORTRANGE(""https://docs.google.com/spreadsheets/d/1JtRfZkJMHtEhI5RdRHxYUG4FIZHqKDpNyIuN7A1Q0_k/edit?usp=sharing"",""พิษณุโลก!M327"")+IMPORTRANGE(""https://docs.google.com/spreadsheets/d/1xlcVZWU"&amp;"Nn6SuWm0c307h32SiGkd9BaeQWlAktfD3KO8/edit?usp=sharing"",""เพชรบูรณ์!M327"")+IMPORTRANGE(""https://docs.google.com/spreadsheets/d/1lOVebEIsI9qjGXl6EX66luk7wiuP2tBaryw-wKvv4e0/edit?usp=sharing"",""แพร่!M327"")+IMPORTRANGE(""https://docs.google.com/spreadshe"&amp;"ets/d/1dQrvX0vEcN7Gu0fnZ0B5S90AeR19zth4XlExFBeExMY/edit?usp=sharing"",""แม่ฮ่องสอน!M327"")+IMPORTRANGE(""https://docs.google.com/spreadsheets/d/1DY4XTNNwjluuxqdfdn6qvOSlMRrZqUtmYcZR0ttFiG4/edit?usp=sharing"",""ลำปาง!M327"")+IMPORTRANGE(""https://docs.goog"&amp;"le.com/spreadsheets/d/1ICwG78r0OFT8biBlxnBF8r7she7gNSzOvJ958PWT09c/edit?usp=sharing"",""ลำพูน!M327"")+IMPORTRANGE(""https://docs.google.com/spreadsheets/d/1B0f2xJpZUC6Z0xXnqKlZtEPzsf6L84eP1r1Q15seqRM/edit?usp=sharing"",""สุโขทัย!M327"")+IMPORTRANGE(""http"&amp;"s://docs.google.com/spreadsheets/d/1v0b9pFQCsKUVExMei7AgY2yQkdeNQvtOssygGsXbiKo/edit?usp=sharing"",""อุตรดิตถ์!M327"")+IMPORTRANGE(""https://docs.google.com/spreadsheets/d/1UsNK1e-WWiCo2PvGqdNfdme4m17_Ezd3J69EeeiQPD0/edit?usp=sharing"",""อุทัยธานี!M327"")"),0)</f>
        <v>0</v>
      </c>
      <c r="N327" s="59">
        <f ca="1">IFERROR(__xludf.DUMMYFUNCTION("IMPORTRANGE(""https://docs.google.com/spreadsheets/d/1jTcq05yEiRwXcBMLjiodW9e4biSGYWAHcDj22rKWQ3s/edit?usp=sharing"",""กำแพงเพชร!N327"")+IMPORTRANGE(""https://docs.google.com/spreadsheets/d/1KS0zmDSZPk8KnTAbGN-Xk6MtX1YRZD0ldgdt20K4CRk/edit?usp=sharing"","&amp;"""เชียงราย!N327"")+IMPORTRANGE(""https://docs.google.com/spreadsheets/d/1rEDxBtusbi64tE0zunoIbsTVV16HeL0oJ6trHQeQ7K8/edit?usp=sharing"",""เชียงใหม่!N327"")+IMPORTRANGE(""https://docs.google.com/spreadsheets/d/1W6MnUbDkMi6xHnHko_XkFDO9kkuL6Wqyc-6OCDFjW9I/e"&amp;"dit?usp=sharing"",""ตาก!N327"")+IMPORTRANGE(""https://docs.google.com/spreadsheets/d/1IQAWArduLkta9LpYo4a_ULsyqdta6-6aDDiwpUnQT6c/edit?usp=sharing"",""นครสวรรค์!N327"")+IMPORTRANGE(""https://docs.google.com/spreadsheets/d/10s13Sk5xrltsiR-Zkbmk5DwIaDIKO8Xl"&amp;"bJAfqyT7Gvg/edit?usp=sharing"",""น่าน!N327"")+IMPORTRANGE(""https://docs.google.com/spreadsheets/d/1uu4nAn4Dbi1XREnLKKotUANlKXa7yCgRcgq8HEzQYW8/edit?usp=sharing"",""พะเยา!N327"")+IMPORTRANGE(""https://docs.google.com/spreadsheets/d/1xfJKIQxVOaPDIICqsflNlL"&amp;"u3JacTDk1FP9RH4phX7mI/edit?usp=sharing"",""พิจิตร!N327"")+IMPORTRANGE(""https://docs.google.com/spreadsheets/d/1JtRfZkJMHtEhI5RdRHxYUG4FIZHqKDpNyIuN7A1Q0_k/edit?usp=sharing"",""พิษณุโลก!N327"")+IMPORTRANGE(""https://docs.google.com/spreadsheets/d/1xlcVZWU"&amp;"Nn6SuWm0c307h32SiGkd9BaeQWlAktfD3KO8/edit?usp=sharing"",""เพชรบูรณ์!N327"")+IMPORTRANGE(""https://docs.google.com/spreadsheets/d/1lOVebEIsI9qjGXl6EX66luk7wiuP2tBaryw-wKvv4e0/edit?usp=sharing"",""แพร่!N327"")+IMPORTRANGE(""https://docs.google.com/spreadshe"&amp;"ets/d/1dQrvX0vEcN7Gu0fnZ0B5S90AeR19zth4XlExFBeExMY/edit?usp=sharing"",""แม่ฮ่องสอน!N327"")+IMPORTRANGE(""https://docs.google.com/spreadsheets/d/1DY4XTNNwjluuxqdfdn6qvOSlMRrZqUtmYcZR0ttFiG4/edit?usp=sharing"",""ลำปาง!N327"")+IMPORTRANGE(""https://docs.goog"&amp;"le.com/spreadsheets/d/1ICwG78r0OFT8biBlxnBF8r7she7gNSzOvJ958PWT09c/edit?usp=sharing"",""ลำพูน!N327"")+IMPORTRANGE(""https://docs.google.com/spreadsheets/d/1B0f2xJpZUC6Z0xXnqKlZtEPzsf6L84eP1r1Q15seqRM/edit?usp=sharing"",""สุโขทัย!N327"")+IMPORTRANGE(""http"&amp;"s://docs.google.com/spreadsheets/d/1v0b9pFQCsKUVExMei7AgY2yQkdeNQvtOssygGsXbiKo/edit?usp=sharing"",""อุตรดิตถ์!N327"")+IMPORTRANGE(""https://docs.google.com/spreadsheets/d/1UsNK1e-WWiCo2PvGqdNfdme4m17_Ezd3J69EeeiQPD0/edit?usp=sharing"",""อุทัยธานี!N327"")"),0)</f>
        <v>0</v>
      </c>
      <c r="O327" s="59">
        <f t="shared" ca="1" si="140"/>
        <v>0</v>
      </c>
      <c r="P327" s="59">
        <f t="shared" ca="1" si="141"/>
        <v>0</v>
      </c>
    </row>
    <row r="328" spans="1:16" ht="18.75" x14ac:dyDescent="0.25">
      <c r="A328" s="157"/>
      <c r="B328" s="53"/>
      <c r="C328" s="53"/>
      <c r="D328" s="53"/>
      <c r="E328" s="60" t="s">
        <v>19</v>
      </c>
      <c r="F328" s="53"/>
      <c r="G328" s="55"/>
      <c r="H328" s="166" t="s">
        <v>12</v>
      </c>
      <c r="I328" s="164"/>
      <c r="J328" s="164"/>
      <c r="K328" s="165"/>
      <c r="L328" s="59">
        <f ca="1">IFERROR(__xludf.DUMMYFUNCTION("IMPORTRANGE(""https://docs.google.com/spreadsheets/d/1jTcq05yEiRwXcBMLjiodW9e4biSGYWAHcDj22rKWQ3s/edit?usp=sharing"",""กำแพงเพชร!L328"")+IMPORTRANGE(""https://docs.google.com/spreadsheets/d/1KS0zmDSZPk8KnTAbGN-Xk6MtX1YRZD0ldgdt20K4CRk/edit?usp=sharing"","&amp;"""เชียงราย!L328"")+IMPORTRANGE(""https://docs.google.com/spreadsheets/d/1rEDxBtusbi64tE0zunoIbsTVV16HeL0oJ6trHQeQ7K8/edit?usp=sharing"",""เชียงใหม่!L328"")+IMPORTRANGE(""https://docs.google.com/spreadsheets/d/1W6MnUbDkMi6xHnHko_XkFDO9kkuL6Wqyc-6OCDFjW9I/e"&amp;"dit?usp=sharing"",""ตาก!L328"")+IMPORTRANGE(""https://docs.google.com/spreadsheets/d/1IQAWArduLkta9LpYo4a_ULsyqdta6-6aDDiwpUnQT6c/edit?usp=sharing"",""นครสวรรค์!L328"")+IMPORTRANGE(""https://docs.google.com/spreadsheets/d/10s13Sk5xrltsiR-Zkbmk5DwIaDIKO8Xl"&amp;"bJAfqyT7Gvg/edit?usp=sharing"",""น่าน!L328"")+IMPORTRANGE(""https://docs.google.com/spreadsheets/d/1uu4nAn4Dbi1XREnLKKotUANlKXa7yCgRcgq8HEzQYW8/edit?usp=sharing"",""พะเยา!L328"")+IMPORTRANGE(""https://docs.google.com/spreadsheets/d/1xfJKIQxVOaPDIICqsflNlL"&amp;"u3JacTDk1FP9RH4phX7mI/edit?usp=sharing"",""พิจิตร!L328"")+IMPORTRANGE(""https://docs.google.com/spreadsheets/d/1JtRfZkJMHtEhI5RdRHxYUG4FIZHqKDpNyIuN7A1Q0_k/edit?usp=sharing"",""พิษณุโลก!L328"")+IMPORTRANGE(""https://docs.google.com/spreadsheets/d/1xlcVZWU"&amp;"Nn6SuWm0c307h32SiGkd9BaeQWlAktfD3KO8/edit?usp=sharing"",""เพชรบูรณ์!L328"")+IMPORTRANGE(""https://docs.google.com/spreadsheets/d/1lOVebEIsI9qjGXl6EX66luk7wiuP2tBaryw-wKvv4e0/edit?usp=sharing"",""แพร่!L328"")+IMPORTRANGE(""https://docs.google.com/spreadshe"&amp;"ets/d/1dQrvX0vEcN7Gu0fnZ0B5S90AeR19zth4XlExFBeExMY/edit?usp=sharing"",""แม่ฮ่องสอน!L328"")+IMPORTRANGE(""https://docs.google.com/spreadsheets/d/1DY4XTNNwjluuxqdfdn6qvOSlMRrZqUtmYcZR0ttFiG4/edit?usp=sharing"",""ลำปาง!L328"")+IMPORTRANGE(""https://docs.goog"&amp;"le.com/spreadsheets/d/1ICwG78r0OFT8biBlxnBF8r7she7gNSzOvJ958PWT09c/edit?usp=sharing"",""ลำพูน!L328"")+IMPORTRANGE(""https://docs.google.com/spreadsheets/d/1B0f2xJpZUC6Z0xXnqKlZtEPzsf6L84eP1r1Q15seqRM/edit?usp=sharing"",""สุโขทัย!L328"")+IMPORTRANGE(""http"&amp;"s://docs.google.com/spreadsheets/d/1v0b9pFQCsKUVExMei7AgY2yQkdeNQvtOssygGsXbiKo/edit?usp=sharing"",""อุตรดิตถ์!L328"")+IMPORTRANGE(""https://docs.google.com/spreadsheets/d/1UsNK1e-WWiCo2PvGqdNfdme4m17_Ezd3J69EeeiQPD0/edit?usp=sharing"",""อุทัยธานี!L328"")"),0)</f>
        <v>0</v>
      </c>
      <c r="M328" s="59">
        <f ca="1">IFERROR(__xludf.DUMMYFUNCTION("IMPORTRANGE(""https://docs.google.com/spreadsheets/d/1jTcq05yEiRwXcBMLjiodW9e4biSGYWAHcDj22rKWQ3s/edit?usp=sharing"",""กำแพงเพชร!M328"")+IMPORTRANGE(""https://docs.google.com/spreadsheets/d/1KS0zmDSZPk8KnTAbGN-Xk6MtX1YRZD0ldgdt20K4CRk/edit?usp=sharing"","&amp;"""เชียงราย!M328"")+IMPORTRANGE(""https://docs.google.com/spreadsheets/d/1rEDxBtusbi64tE0zunoIbsTVV16HeL0oJ6trHQeQ7K8/edit?usp=sharing"",""เชียงใหม่!M328"")+IMPORTRANGE(""https://docs.google.com/spreadsheets/d/1W6MnUbDkMi6xHnHko_XkFDO9kkuL6Wqyc-6OCDFjW9I/e"&amp;"dit?usp=sharing"",""ตาก!M328"")+IMPORTRANGE(""https://docs.google.com/spreadsheets/d/1IQAWArduLkta9LpYo4a_ULsyqdta6-6aDDiwpUnQT6c/edit?usp=sharing"",""นครสวรรค์!M328"")+IMPORTRANGE(""https://docs.google.com/spreadsheets/d/10s13Sk5xrltsiR-Zkbmk5DwIaDIKO8Xl"&amp;"bJAfqyT7Gvg/edit?usp=sharing"",""น่าน!M328"")+IMPORTRANGE(""https://docs.google.com/spreadsheets/d/1uu4nAn4Dbi1XREnLKKotUANlKXa7yCgRcgq8HEzQYW8/edit?usp=sharing"",""พะเยา!M328"")+IMPORTRANGE(""https://docs.google.com/spreadsheets/d/1xfJKIQxVOaPDIICqsflNlL"&amp;"u3JacTDk1FP9RH4phX7mI/edit?usp=sharing"",""พิจิตร!M328"")+IMPORTRANGE(""https://docs.google.com/spreadsheets/d/1JtRfZkJMHtEhI5RdRHxYUG4FIZHqKDpNyIuN7A1Q0_k/edit?usp=sharing"",""พิษณุโลก!M328"")+IMPORTRANGE(""https://docs.google.com/spreadsheets/d/1xlcVZWU"&amp;"Nn6SuWm0c307h32SiGkd9BaeQWlAktfD3KO8/edit?usp=sharing"",""เพชรบูรณ์!M328"")+IMPORTRANGE(""https://docs.google.com/spreadsheets/d/1lOVebEIsI9qjGXl6EX66luk7wiuP2tBaryw-wKvv4e0/edit?usp=sharing"",""แพร่!M328"")+IMPORTRANGE(""https://docs.google.com/spreadshe"&amp;"ets/d/1dQrvX0vEcN7Gu0fnZ0B5S90AeR19zth4XlExFBeExMY/edit?usp=sharing"",""แม่ฮ่องสอน!M328"")+IMPORTRANGE(""https://docs.google.com/spreadsheets/d/1DY4XTNNwjluuxqdfdn6qvOSlMRrZqUtmYcZR0ttFiG4/edit?usp=sharing"",""ลำปาง!M328"")+IMPORTRANGE(""https://docs.goog"&amp;"le.com/spreadsheets/d/1ICwG78r0OFT8biBlxnBF8r7she7gNSzOvJ958PWT09c/edit?usp=sharing"",""ลำพูน!M328"")+IMPORTRANGE(""https://docs.google.com/spreadsheets/d/1B0f2xJpZUC6Z0xXnqKlZtEPzsf6L84eP1r1Q15seqRM/edit?usp=sharing"",""สุโขทัย!M328"")+IMPORTRANGE(""http"&amp;"s://docs.google.com/spreadsheets/d/1v0b9pFQCsKUVExMei7AgY2yQkdeNQvtOssygGsXbiKo/edit?usp=sharing"",""อุตรดิตถ์!M328"")+IMPORTRANGE(""https://docs.google.com/spreadsheets/d/1UsNK1e-WWiCo2PvGqdNfdme4m17_Ezd3J69EeeiQPD0/edit?usp=sharing"",""อุทัยธานี!M328"")"),0)</f>
        <v>0</v>
      </c>
      <c r="N328" s="59">
        <f ca="1">IFERROR(__xludf.DUMMYFUNCTION("IMPORTRANGE(""https://docs.google.com/spreadsheets/d/1jTcq05yEiRwXcBMLjiodW9e4biSGYWAHcDj22rKWQ3s/edit?usp=sharing"",""กำแพงเพชร!N328"")+IMPORTRANGE(""https://docs.google.com/spreadsheets/d/1KS0zmDSZPk8KnTAbGN-Xk6MtX1YRZD0ldgdt20K4CRk/edit?usp=sharing"","&amp;"""เชียงราย!N328"")+IMPORTRANGE(""https://docs.google.com/spreadsheets/d/1rEDxBtusbi64tE0zunoIbsTVV16HeL0oJ6trHQeQ7K8/edit?usp=sharing"",""เชียงใหม่!N328"")+IMPORTRANGE(""https://docs.google.com/spreadsheets/d/1W6MnUbDkMi6xHnHko_XkFDO9kkuL6Wqyc-6OCDFjW9I/e"&amp;"dit?usp=sharing"",""ตาก!N328"")+IMPORTRANGE(""https://docs.google.com/spreadsheets/d/1IQAWArduLkta9LpYo4a_ULsyqdta6-6aDDiwpUnQT6c/edit?usp=sharing"",""นครสวรรค์!N328"")+IMPORTRANGE(""https://docs.google.com/spreadsheets/d/10s13Sk5xrltsiR-Zkbmk5DwIaDIKO8Xl"&amp;"bJAfqyT7Gvg/edit?usp=sharing"",""น่าน!N328"")+IMPORTRANGE(""https://docs.google.com/spreadsheets/d/1uu4nAn4Dbi1XREnLKKotUANlKXa7yCgRcgq8HEzQYW8/edit?usp=sharing"",""พะเยา!N328"")+IMPORTRANGE(""https://docs.google.com/spreadsheets/d/1xfJKIQxVOaPDIICqsflNlL"&amp;"u3JacTDk1FP9RH4phX7mI/edit?usp=sharing"",""พิจิตร!N328"")+IMPORTRANGE(""https://docs.google.com/spreadsheets/d/1JtRfZkJMHtEhI5RdRHxYUG4FIZHqKDpNyIuN7A1Q0_k/edit?usp=sharing"",""พิษณุโลก!N328"")+IMPORTRANGE(""https://docs.google.com/spreadsheets/d/1xlcVZWU"&amp;"Nn6SuWm0c307h32SiGkd9BaeQWlAktfD3KO8/edit?usp=sharing"",""เพชรบูรณ์!N328"")+IMPORTRANGE(""https://docs.google.com/spreadsheets/d/1lOVebEIsI9qjGXl6EX66luk7wiuP2tBaryw-wKvv4e0/edit?usp=sharing"",""แพร่!N328"")+IMPORTRANGE(""https://docs.google.com/spreadshe"&amp;"ets/d/1dQrvX0vEcN7Gu0fnZ0B5S90AeR19zth4XlExFBeExMY/edit?usp=sharing"",""แม่ฮ่องสอน!N328"")+IMPORTRANGE(""https://docs.google.com/spreadsheets/d/1DY4XTNNwjluuxqdfdn6qvOSlMRrZqUtmYcZR0ttFiG4/edit?usp=sharing"",""ลำปาง!N328"")+IMPORTRANGE(""https://docs.goog"&amp;"le.com/spreadsheets/d/1ICwG78r0OFT8biBlxnBF8r7she7gNSzOvJ958PWT09c/edit?usp=sharing"",""ลำพูน!N328"")+IMPORTRANGE(""https://docs.google.com/spreadsheets/d/1B0f2xJpZUC6Z0xXnqKlZtEPzsf6L84eP1r1Q15seqRM/edit?usp=sharing"",""สุโขทัย!N328"")+IMPORTRANGE(""http"&amp;"s://docs.google.com/spreadsheets/d/1v0b9pFQCsKUVExMei7AgY2yQkdeNQvtOssygGsXbiKo/edit?usp=sharing"",""อุตรดิตถ์!N328"")+IMPORTRANGE(""https://docs.google.com/spreadsheets/d/1UsNK1e-WWiCo2PvGqdNfdme4m17_Ezd3J69EeeiQPD0/edit?usp=sharing"",""อุทัยธานี!N328"")"),0)</f>
        <v>0</v>
      </c>
      <c r="O328" s="59">
        <f t="shared" ca="1" si="140"/>
        <v>0</v>
      </c>
      <c r="P328" s="59">
        <f t="shared" ca="1" si="141"/>
        <v>0</v>
      </c>
    </row>
    <row r="329" spans="1:16" ht="19.5" x14ac:dyDescent="0.3">
      <c r="A329" s="167"/>
      <c r="B329" s="168"/>
      <c r="C329" s="158" t="s">
        <v>16</v>
      </c>
      <c r="D329" s="169" t="s">
        <v>36</v>
      </c>
      <c r="E329" s="170"/>
      <c r="F329" s="170"/>
      <c r="G329" s="171"/>
      <c r="H329" s="172"/>
      <c r="I329" s="164"/>
      <c r="J329" s="57"/>
      <c r="K329" s="58"/>
      <c r="L329" s="58"/>
      <c r="M329" s="58"/>
      <c r="N329" s="58"/>
      <c r="O329" s="165"/>
      <c r="P329" s="165"/>
    </row>
    <row r="330" spans="1:16" ht="18.75" x14ac:dyDescent="0.25">
      <c r="A330" s="167"/>
      <c r="B330" s="168"/>
      <c r="C330" s="168"/>
      <c r="D330" s="173" t="s">
        <v>127</v>
      </c>
      <c r="E330" s="174"/>
      <c r="F330" s="174"/>
      <c r="G330" s="172"/>
      <c r="H330" s="56" t="s">
        <v>126</v>
      </c>
      <c r="I330" s="194">
        <f ca="1">IFERROR(__xludf.DUMMYFUNCTION("IMPORTRANGE(""https://docs.google.com/spreadsheets/d/1jTcq05yEiRwXcBMLjiodW9e4biSGYWAHcDj22rKWQ3s/edit?usp=sharing"",""กำแพงเพชร!I330"")+IMPORTRANGE(""https://docs.google.com/spreadsheets/d/1KS0zmDSZPk8KnTAbGN-Xk6MtX1YRZD0ldgdt20K4CRk/edit?usp=sharing"","&amp;"""เชียงราย!I330"")+IMPORTRANGE(""https://docs.google.com/spreadsheets/d/1rEDxBtusbi64tE0zunoIbsTVV16HeL0oJ6trHQeQ7K8/edit?usp=sharing"",""เชียงใหม่!I330"")+IMPORTRANGE(""https://docs.google.com/spreadsheets/d/1W6MnUbDkMi6xHnHko_XkFDO9kkuL6Wqyc-6OCDFjW9I/e"&amp;"dit?usp=sharing"",""ตาก!I330"")+IMPORTRANGE(""https://docs.google.com/spreadsheets/d/1IQAWArduLkta9LpYo4a_ULsyqdta6-6aDDiwpUnQT6c/edit?usp=sharing"",""นครสวรรค์!I330"")+IMPORTRANGE(""https://docs.google.com/spreadsheets/d/10s13Sk5xrltsiR-Zkbmk5DwIaDIKO8Xl"&amp;"bJAfqyT7Gvg/edit?usp=sharing"",""น่าน!I330"")+IMPORTRANGE(""https://docs.google.com/spreadsheets/d/1uu4nAn4Dbi1XREnLKKotUANlKXa7yCgRcgq8HEzQYW8/edit?usp=sharing"",""พะเยา!I330"")+IMPORTRANGE(""https://docs.google.com/spreadsheets/d/1xfJKIQxVOaPDIICqsflNlL"&amp;"u3JacTDk1FP9RH4phX7mI/edit?usp=sharing"",""พิจิตร!I330"")+IMPORTRANGE(""https://docs.google.com/spreadsheets/d/1JtRfZkJMHtEhI5RdRHxYUG4FIZHqKDpNyIuN7A1Q0_k/edit?usp=sharing"",""พิษณุโลก!I330"")+IMPORTRANGE(""https://docs.google.com/spreadsheets/d/1xlcVZWU"&amp;"Nn6SuWm0c307h32SiGkd9BaeQWlAktfD3KO8/edit?usp=sharing"",""เพชรบูรณ์!I330"")+IMPORTRANGE(""https://docs.google.com/spreadsheets/d/1lOVebEIsI9qjGXl6EX66luk7wiuP2tBaryw-wKvv4e0/edit?usp=sharing"",""แพร่!I330"")+IMPORTRANGE(""https://docs.google.com/spreadshe"&amp;"ets/d/1dQrvX0vEcN7Gu0fnZ0B5S90AeR19zth4XlExFBeExMY/edit?usp=sharing"",""แม่ฮ่องสอน!I330"")+IMPORTRANGE(""https://docs.google.com/spreadsheets/d/1DY4XTNNwjluuxqdfdn6qvOSlMRrZqUtmYcZR0ttFiG4/edit?usp=sharing"",""ลำปาง!I330"")+IMPORTRANGE(""https://docs.goog"&amp;"le.com/spreadsheets/d/1ICwG78r0OFT8biBlxnBF8r7she7gNSzOvJ958PWT09c/edit?usp=sharing"",""ลำพูน!I330"")+IMPORTRANGE(""https://docs.google.com/spreadsheets/d/1B0f2xJpZUC6Z0xXnqKlZtEPzsf6L84eP1r1Q15seqRM/edit?usp=sharing"",""สุโขทัย!I330"")+IMPORTRANGE(""http"&amp;"s://docs.google.com/spreadsheets/d/1v0b9pFQCsKUVExMei7AgY2yQkdeNQvtOssygGsXbiKo/edit?usp=sharing"",""อุตรดิตถ์!I330"")+IMPORTRANGE(""https://docs.google.com/spreadsheets/d/1UsNK1e-WWiCo2PvGqdNfdme4m17_Ezd3J69EeeiQPD0/edit?usp=sharing"",""อุทัยธานี!I330"")"),1)</f>
        <v>1</v>
      </c>
      <c r="J330" s="194">
        <f ca="1">IFERROR(__xludf.DUMMYFUNCTION("IMPORTRANGE(""https://docs.google.com/spreadsheets/d/1jTcq05yEiRwXcBMLjiodW9e4biSGYWAHcDj22rKWQ3s/edit?usp=sharing"",""กำแพงเพชร!J330"")+IMPORTRANGE(""https://docs.google.com/spreadsheets/d/1KS0zmDSZPk8KnTAbGN-Xk6MtX1YRZD0ldgdt20K4CRk/edit?usp=sharing"","&amp;"""เชียงราย!J330"")+IMPORTRANGE(""https://docs.google.com/spreadsheets/d/1rEDxBtusbi64tE0zunoIbsTVV16HeL0oJ6trHQeQ7K8/edit?usp=sharing"",""เชียงใหม่!J330"")+IMPORTRANGE(""https://docs.google.com/spreadsheets/d/1W6MnUbDkMi6xHnHko_XkFDO9kkuL6Wqyc-6OCDFjW9I/e"&amp;"dit?usp=sharing"",""ตาก!J330"")+IMPORTRANGE(""https://docs.google.com/spreadsheets/d/1IQAWArduLkta9LpYo4a_ULsyqdta6-6aDDiwpUnQT6c/edit?usp=sharing"",""นครสวรรค์!J330"")+IMPORTRANGE(""https://docs.google.com/spreadsheets/d/10s13Sk5xrltsiR-Zkbmk5DwIaDIKO8Xl"&amp;"bJAfqyT7Gvg/edit?usp=sharing"",""น่าน!J330"")+IMPORTRANGE(""https://docs.google.com/spreadsheets/d/1uu4nAn4Dbi1XREnLKKotUANlKXa7yCgRcgq8HEzQYW8/edit?usp=sharing"",""พะเยา!J330"")+IMPORTRANGE(""https://docs.google.com/spreadsheets/d/1xfJKIQxVOaPDIICqsflNlL"&amp;"u3JacTDk1FP9RH4phX7mI/edit?usp=sharing"",""พิจิตร!J330"")+IMPORTRANGE(""https://docs.google.com/spreadsheets/d/1JtRfZkJMHtEhI5RdRHxYUG4FIZHqKDpNyIuN7A1Q0_k/edit?usp=sharing"",""พิษณุโลก!J330"")+IMPORTRANGE(""https://docs.google.com/spreadsheets/d/1xlcVZWU"&amp;"Nn6SuWm0c307h32SiGkd9BaeQWlAktfD3KO8/edit?usp=sharing"",""เพชรบูรณ์!J330"")+IMPORTRANGE(""https://docs.google.com/spreadsheets/d/1lOVebEIsI9qjGXl6EX66luk7wiuP2tBaryw-wKvv4e0/edit?usp=sharing"",""แพร่!J330"")+IMPORTRANGE(""https://docs.google.com/spreadshe"&amp;"ets/d/1dQrvX0vEcN7Gu0fnZ0B5S90AeR19zth4XlExFBeExMY/edit?usp=sharing"",""แม่ฮ่องสอน!J330"")+IMPORTRANGE(""https://docs.google.com/spreadsheets/d/1DY4XTNNwjluuxqdfdn6qvOSlMRrZqUtmYcZR0ttFiG4/edit?usp=sharing"",""ลำปาง!J330"")+IMPORTRANGE(""https://docs.goog"&amp;"le.com/spreadsheets/d/1ICwG78r0OFT8biBlxnBF8r7she7gNSzOvJ958PWT09c/edit?usp=sharing"",""ลำพูน!J330"")+IMPORTRANGE(""https://docs.google.com/spreadsheets/d/1B0f2xJpZUC6Z0xXnqKlZtEPzsf6L84eP1r1Q15seqRM/edit?usp=sharing"",""สุโขทัย!J330"")+IMPORTRANGE(""http"&amp;"s://docs.google.com/spreadsheets/d/1v0b9pFQCsKUVExMei7AgY2yQkdeNQvtOssygGsXbiKo/edit?usp=sharing"",""อุตรดิตถ์!J330"")+IMPORTRANGE(""https://docs.google.com/spreadsheets/d/1UsNK1e-WWiCo2PvGqdNfdme4m17_Ezd3J69EeeiQPD0/edit?usp=sharing"",""อุทัยธานี!J330"")"),0)</f>
        <v>0</v>
      </c>
      <c r="K330" s="59">
        <f ca="1">IF(I330&gt;0,J330*100/I330,0)</f>
        <v>0</v>
      </c>
      <c r="L330" s="58"/>
      <c r="M330" s="58"/>
      <c r="N330" s="58"/>
      <c r="O330" s="165"/>
      <c r="P330" s="165"/>
    </row>
    <row r="331" spans="1:16" ht="19.5" x14ac:dyDescent="0.3">
      <c r="A331" s="384" t="s">
        <v>128</v>
      </c>
      <c r="B331" s="385"/>
      <c r="C331" s="385"/>
      <c r="D331" s="386"/>
      <c r="E331" s="385"/>
      <c r="F331" s="385"/>
      <c r="G331" s="385"/>
      <c r="H331" s="386"/>
      <c r="I331" s="388"/>
      <c r="J331" s="388"/>
      <c r="K331" s="389"/>
      <c r="L331" s="389"/>
      <c r="M331" s="389"/>
      <c r="N331" s="389"/>
      <c r="O331" s="389"/>
      <c r="P331" s="389"/>
    </row>
    <row r="332" spans="1:16" ht="19.5" x14ac:dyDescent="0.3">
      <c r="A332" s="390"/>
      <c r="B332" s="391" t="s">
        <v>129</v>
      </c>
      <c r="C332" s="400"/>
      <c r="D332" s="392"/>
      <c r="E332" s="392"/>
      <c r="F332" s="392"/>
      <c r="G332" s="393"/>
      <c r="H332" s="394" t="s">
        <v>33</v>
      </c>
      <c r="I332" s="401">
        <f ca="1">I238</f>
        <v>210</v>
      </c>
      <c r="J332" s="402">
        <f ca="1">J238+J347+J398+J349+J353</f>
        <v>22316</v>
      </c>
      <c r="K332" s="403">
        <f ca="1">IF(I332&gt;0,J332*100/I332,0)</f>
        <v>10626.666666666666</v>
      </c>
      <c r="L332" s="397"/>
      <c r="M332" s="397"/>
      <c r="N332" s="397"/>
      <c r="O332" s="397"/>
      <c r="P332" s="397"/>
    </row>
    <row r="333" spans="1:16" ht="19.5" x14ac:dyDescent="0.3">
      <c r="A333" s="157"/>
      <c r="B333" s="53"/>
      <c r="C333" s="158" t="s">
        <v>16</v>
      </c>
      <c r="D333" s="159" t="s">
        <v>17</v>
      </c>
      <c r="E333" s="53"/>
      <c r="F333" s="53"/>
      <c r="G333" s="55"/>
      <c r="H333" s="160" t="s">
        <v>12</v>
      </c>
      <c r="I333" s="57"/>
      <c r="J333" s="57"/>
      <c r="K333" s="58"/>
      <c r="L333" s="161">
        <f t="shared" ref="L333:N333" ca="1" si="146">L334+L335</f>
        <v>1861000</v>
      </c>
      <c r="M333" s="161">
        <f t="shared" ca="1" si="146"/>
        <v>1469750</v>
      </c>
      <c r="N333" s="161">
        <f t="shared" ca="1" si="146"/>
        <v>540347.66999999899</v>
      </c>
      <c r="O333" s="161">
        <f t="shared" ref="O333:O341" ca="1" si="147">IF(L333&gt;0,N333*100/L333,0)</f>
        <v>29.035339602364264</v>
      </c>
      <c r="P333" s="161">
        <f t="shared" ref="P333:P341" ca="1" si="148">IF(M333&gt;0,N333*100/M333,0)</f>
        <v>36.764597380506821</v>
      </c>
    </row>
    <row r="334" spans="1:16" ht="18.75" x14ac:dyDescent="0.25">
      <c r="A334" s="157"/>
      <c r="B334" s="53"/>
      <c r="C334" s="53"/>
      <c r="D334" s="53"/>
      <c r="E334" s="60" t="s">
        <v>18</v>
      </c>
      <c r="F334" s="53"/>
      <c r="G334" s="55"/>
      <c r="H334" s="162" t="s">
        <v>12</v>
      </c>
      <c r="I334" s="57"/>
      <c r="J334" s="57"/>
      <c r="K334" s="58"/>
      <c r="L334" s="59">
        <f t="shared" ref="L334:N334" ca="1" si="149">L337+L340</f>
        <v>0</v>
      </c>
      <c r="M334" s="59">
        <f t="shared" ca="1" si="149"/>
        <v>0</v>
      </c>
      <c r="N334" s="59">
        <f t="shared" ca="1" si="149"/>
        <v>0</v>
      </c>
      <c r="O334" s="59">
        <f t="shared" ca="1" si="147"/>
        <v>0</v>
      </c>
      <c r="P334" s="59">
        <f t="shared" ca="1" si="148"/>
        <v>0</v>
      </c>
    </row>
    <row r="335" spans="1:16" ht="18.75" x14ac:dyDescent="0.25">
      <c r="A335" s="157"/>
      <c r="B335" s="53"/>
      <c r="C335" s="53"/>
      <c r="D335" s="53"/>
      <c r="E335" s="60" t="s">
        <v>19</v>
      </c>
      <c r="F335" s="53"/>
      <c r="G335" s="55"/>
      <c r="H335" s="162" t="s">
        <v>12</v>
      </c>
      <c r="I335" s="57"/>
      <c r="J335" s="57"/>
      <c r="K335" s="58"/>
      <c r="L335" s="59">
        <f t="shared" ref="L335:N335" ca="1" si="150">L338+L341</f>
        <v>1861000</v>
      </c>
      <c r="M335" s="59">
        <f t="shared" ca="1" si="150"/>
        <v>1469750</v>
      </c>
      <c r="N335" s="59">
        <f t="shared" ca="1" si="150"/>
        <v>540347.66999999899</v>
      </c>
      <c r="O335" s="59">
        <f t="shared" ca="1" si="147"/>
        <v>29.035339602364264</v>
      </c>
      <c r="P335" s="59">
        <f t="shared" ca="1" si="148"/>
        <v>36.764597380506821</v>
      </c>
    </row>
    <row r="336" spans="1:16" ht="18.75" x14ac:dyDescent="0.25">
      <c r="A336" s="157"/>
      <c r="B336" s="53"/>
      <c r="C336" s="53"/>
      <c r="D336" s="54" t="s">
        <v>20</v>
      </c>
      <c r="E336" s="53"/>
      <c r="F336" s="53"/>
      <c r="G336" s="55"/>
      <c r="H336" s="163" t="s">
        <v>12</v>
      </c>
      <c r="I336" s="164"/>
      <c r="J336" s="164"/>
      <c r="K336" s="165"/>
      <c r="L336" s="59">
        <f t="shared" ref="L336:N336" ca="1" si="151">L337+L338</f>
        <v>1861000</v>
      </c>
      <c r="M336" s="59">
        <f t="shared" ca="1" si="151"/>
        <v>1469750</v>
      </c>
      <c r="N336" s="59">
        <f t="shared" ca="1" si="151"/>
        <v>540347.66999999899</v>
      </c>
      <c r="O336" s="59">
        <f t="shared" ca="1" si="147"/>
        <v>29.035339602364264</v>
      </c>
      <c r="P336" s="59">
        <f t="shared" ca="1" si="148"/>
        <v>36.764597380506821</v>
      </c>
    </row>
    <row r="337" spans="1:16" ht="18.75" x14ac:dyDescent="0.25">
      <c r="A337" s="157"/>
      <c r="B337" s="53"/>
      <c r="C337" s="53"/>
      <c r="D337" s="53"/>
      <c r="E337" s="60" t="s">
        <v>34</v>
      </c>
      <c r="F337" s="53"/>
      <c r="G337" s="55"/>
      <c r="H337" s="163" t="s">
        <v>12</v>
      </c>
      <c r="I337" s="164"/>
      <c r="J337" s="164"/>
      <c r="K337" s="165"/>
      <c r="L337" s="59">
        <f ca="1">IFERROR(__xludf.DUMMYFUNCTION("IMPORTRANGE(""https://docs.google.com/spreadsheets/d/1jTcq05yEiRwXcBMLjiodW9e4biSGYWAHcDj22rKWQ3s/edit?usp=sharing"",""กำแพงเพชร!L337"")+IMPORTRANGE(""https://docs.google.com/spreadsheets/d/1KS0zmDSZPk8KnTAbGN-Xk6MtX1YRZD0ldgdt20K4CRk/edit?usp=sharing"","&amp;"""เชียงราย!L337"")+IMPORTRANGE(""https://docs.google.com/spreadsheets/d/1rEDxBtusbi64tE0zunoIbsTVV16HeL0oJ6trHQeQ7K8/edit?usp=sharing"",""เชียงใหม่!L337"")+IMPORTRANGE(""https://docs.google.com/spreadsheets/d/1W6MnUbDkMi6xHnHko_XkFDO9kkuL6Wqyc-6OCDFjW9I/e"&amp;"dit?usp=sharing"",""ตาก!L337"")+IMPORTRANGE(""https://docs.google.com/spreadsheets/d/1IQAWArduLkta9LpYo4a_ULsyqdta6-6aDDiwpUnQT6c/edit?usp=sharing"",""นครสวรรค์!L337"")+IMPORTRANGE(""https://docs.google.com/spreadsheets/d/10s13Sk5xrltsiR-Zkbmk5DwIaDIKO8Xl"&amp;"bJAfqyT7Gvg/edit?usp=sharing"",""น่าน!L337"")+IMPORTRANGE(""https://docs.google.com/spreadsheets/d/1uu4nAn4Dbi1XREnLKKotUANlKXa7yCgRcgq8HEzQYW8/edit?usp=sharing"",""พะเยา!L337"")+IMPORTRANGE(""https://docs.google.com/spreadsheets/d/1xfJKIQxVOaPDIICqsflNlL"&amp;"u3JacTDk1FP9RH4phX7mI/edit?usp=sharing"",""พิจิตร!L337"")+IMPORTRANGE(""https://docs.google.com/spreadsheets/d/1JtRfZkJMHtEhI5RdRHxYUG4FIZHqKDpNyIuN7A1Q0_k/edit?usp=sharing"",""พิษณุโลก!L337"")+IMPORTRANGE(""https://docs.google.com/spreadsheets/d/1xlcVZWU"&amp;"Nn6SuWm0c307h32SiGkd9BaeQWlAktfD3KO8/edit?usp=sharing"",""เพชรบูรณ์!L337"")+IMPORTRANGE(""https://docs.google.com/spreadsheets/d/1lOVebEIsI9qjGXl6EX66luk7wiuP2tBaryw-wKvv4e0/edit?usp=sharing"",""แพร่!L337"")+IMPORTRANGE(""https://docs.google.com/spreadshe"&amp;"ets/d/1dQrvX0vEcN7Gu0fnZ0B5S90AeR19zth4XlExFBeExMY/edit?usp=sharing"",""แม่ฮ่องสอน!L337"")+IMPORTRANGE(""https://docs.google.com/spreadsheets/d/1DY4XTNNwjluuxqdfdn6qvOSlMRrZqUtmYcZR0ttFiG4/edit?usp=sharing"",""ลำปาง!L337"")+IMPORTRANGE(""https://docs.goog"&amp;"le.com/spreadsheets/d/1ICwG78r0OFT8biBlxnBF8r7she7gNSzOvJ958PWT09c/edit?usp=sharing"",""ลำพูน!L337"")+IMPORTRANGE(""https://docs.google.com/spreadsheets/d/1B0f2xJpZUC6Z0xXnqKlZtEPzsf6L84eP1r1Q15seqRM/edit?usp=sharing"",""สุโขทัย!L337"")+IMPORTRANGE(""http"&amp;"s://docs.google.com/spreadsheets/d/1v0b9pFQCsKUVExMei7AgY2yQkdeNQvtOssygGsXbiKo/edit?usp=sharing"",""อุตรดิตถ์!L337"")+IMPORTRANGE(""https://docs.google.com/spreadsheets/d/1UsNK1e-WWiCo2PvGqdNfdme4m17_Ezd3J69EeeiQPD0/edit?usp=sharing"",""อุทัยธานี!L337"")"),0)</f>
        <v>0</v>
      </c>
      <c r="M337" s="59">
        <f ca="1">IFERROR(__xludf.DUMMYFUNCTION("IMPORTRANGE(""https://docs.google.com/spreadsheets/d/1jTcq05yEiRwXcBMLjiodW9e4biSGYWAHcDj22rKWQ3s/edit?usp=sharing"",""กำแพงเพชร!M337"")+IMPORTRANGE(""https://docs.google.com/spreadsheets/d/1KS0zmDSZPk8KnTAbGN-Xk6MtX1YRZD0ldgdt20K4CRk/edit?usp=sharing"","&amp;"""เชียงราย!M337"")+IMPORTRANGE(""https://docs.google.com/spreadsheets/d/1rEDxBtusbi64tE0zunoIbsTVV16HeL0oJ6trHQeQ7K8/edit?usp=sharing"",""เชียงใหม่!M337"")+IMPORTRANGE(""https://docs.google.com/spreadsheets/d/1W6MnUbDkMi6xHnHko_XkFDO9kkuL6Wqyc-6OCDFjW9I/e"&amp;"dit?usp=sharing"",""ตาก!M337"")+IMPORTRANGE(""https://docs.google.com/spreadsheets/d/1IQAWArduLkta9LpYo4a_ULsyqdta6-6aDDiwpUnQT6c/edit?usp=sharing"",""นครสวรรค์!M337"")+IMPORTRANGE(""https://docs.google.com/spreadsheets/d/10s13Sk5xrltsiR-Zkbmk5DwIaDIKO8Xl"&amp;"bJAfqyT7Gvg/edit?usp=sharing"",""น่าน!M337"")+IMPORTRANGE(""https://docs.google.com/spreadsheets/d/1uu4nAn4Dbi1XREnLKKotUANlKXa7yCgRcgq8HEzQYW8/edit?usp=sharing"",""พะเยา!M337"")+IMPORTRANGE(""https://docs.google.com/spreadsheets/d/1xfJKIQxVOaPDIICqsflNlL"&amp;"u3JacTDk1FP9RH4phX7mI/edit?usp=sharing"",""พิจิตร!M337"")+IMPORTRANGE(""https://docs.google.com/spreadsheets/d/1JtRfZkJMHtEhI5RdRHxYUG4FIZHqKDpNyIuN7A1Q0_k/edit?usp=sharing"",""พิษณุโลก!M337"")+IMPORTRANGE(""https://docs.google.com/spreadsheets/d/1xlcVZWU"&amp;"Nn6SuWm0c307h32SiGkd9BaeQWlAktfD3KO8/edit?usp=sharing"",""เพชรบูรณ์!M337"")+IMPORTRANGE(""https://docs.google.com/spreadsheets/d/1lOVebEIsI9qjGXl6EX66luk7wiuP2tBaryw-wKvv4e0/edit?usp=sharing"",""แพร่!M337"")+IMPORTRANGE(""https://docs.google.com/spreadshe"&amp;"ets/d/1dQrvX0vEcN7Gu0fnZ0B5S90AeR19zth4XlExFBeExMY/edit?usp=sharing"",""แม่ฮ่องสอน!M337"")+IMPORTRANGE(""https://docs.google.com/spreadsheets/d/1DY4XTNNwjluuxqdfdn6qvOSlMRrZqUtmYcZR0ttFiG4/edit?usp=sharing"",""ลำปาง!M337"")+IMPORTRANGE(""https://docs.goog"&amp;"le.com/spreadsheets/d/1ICwG78r0OFT8biBlxnBF8r7she7gNSzOvJ958PWT09c/edit?usp=sharing"",""ลำพูน!M337"")+IMPORTRANGE(""https://docs.google.com/spreadsheets/d/1B0f2xJpZUC6Z0xXnqKlZtEPzsf6L84eP1r1Q15seqRM/edit?usp=sharing"",""สุโขทัย!M337"")+IMPORTRANGE(""http"&amp;"s://docs.google.com/spreadsheets/d/1v0b9pFQCsKUVExMei7AgY2yQkdeNQvtOssygGsXbiKo/edit?usp=sharing"",""อุตรดิตถ์!M337"")+IMPORTRANGE(""https://docs.google.com/spreadsheets/d/1UsNK1e-WWiCo2PvGqdNfdme4m17_Ezd3J69EeeiQPD0/edit?usp=sharing"",""อุทัยธานี!M337"")"),0)</f>
        <v>0</v>
      </c>
      <c r="N337" s="59">
        <f ca="1">IFERROR(__xludf.DUMMYFUNCTION("IMPORTRANGE(""https://docs.google.com/spreadsheets/d/1jTcq05yEiRwXcBMLjiodW9e4biSGYWAHcDj22rKWQ3s/edit?usp=sharing"",""กำแพงเพชร!N337"")+IMPORTRANGE(""https://docs.google.com/spreadsheets/d/1KS0zmDSZPk8KnTAbGN-Xk6MtX1YRZD0ldgdt20K4CRk/edit?usp=sharing"","&amp;"""เชียงราย!N337"")+IMPORTRANGE(""https://docs.google.com/spreadsheets/d/1rEDxBtusbi64tE0zunoIbsTVV16HeL0oJ6trHQeQ7K8/edit?usp=sharing"",""เชียงใหม่!N337"")+IMPORTRANGE(""https://docs.google.com/spreadsheets/d/1W6MnUbDkMi6xHnHko_XkFDO9kkuL6Wqyc-6OCDFjW9I/e"&amp;"dit?usp=sharing"",""ตาก!N337"")+IMPORTRANGE(""https://docs.google.com/spreadsheets/d/1IQAWArduLkta9LpYo4a_ULsyqdta6-6aDDiwpUnQT6c/edit?usp=sharing"",""นครสวรรค์!N337"")+IMPORTRANGE(""https://docs.google.com/spreadsheets/d/10s13Sk5xrltsiR-Zkbmk5DwIaDIKO8Xl"&amp;"bJAfqyT7Gvg/edit?usp=sharing"",""น่าน!N337"")+IMPORTRANGE(""https://docs.google.com/spreadsheets/d/1uu4nAn4Dbi1XREnLKKotUANlKXa7yCgRcgq8HEzQYW8/edit?usp=sharing"",""พะเยา!N337"")+IMPORTRANGE(""https://docs.google.com/spreadsheets/d/1xfJKIQxVOaPDIICqsflNlL"&amp;"u3JacTDk1FP9RH4phX7mI/edit?usp=sharing"",""พิจิตร!N337"")+IMPORTRANGE(""https://docs.google.com/spreadsheets/d/1JtRfZkJMHtEhI5RdRHxYUG4FIZHqKDpNyIuN7A1Q0_k/edit?usp=sharing"",""พิษณุโลก!N337"")+IMPORTRANGE(""https://docs.google.com/spreadsheets/d/1xlcVZWU"&amp;"Nn6SuWm0c307h32SiGkd9BaeQWlAktfD3KO8/edit?usp=sharing"",""เพชรบูรณ์!N337"")+IMPORTRANGE(""https://docs.google.com/spreadsheets/d/1lOVebEIsI9qjGXl6EX66luk7wiuP2tBaryw-wKvv4e0/edit?usp=sharing"",""แพร่!N337"")+IMPORTRANGE(""https://docs.google.com/spreadshe"&amp;"ets/d/1dQrvX0vEcN7Gu0fnZ0B5S90AeR19zth4XlExFBeExMY/edit?usp=sharing"",""แม่ฮ่องสอน!N337"")+IMPORTRANGE(""https://docs.google.com/spreadsheets/d/1DY4XTNNwjluuxqdfdn6qvOSlMRrZqUtmYcZR0ttFiG4/edit?usp=sharing"",""ลำปาง!N337"")+IMPORTRANGE(""https://docs.goog"&amp;"le.com/spreadsheets/d/1ICwG78r0OFT8biBlxnBF8r7she7gNSzOvJ958PWT09c/edit?usp=sharing"",""ลำพูน!N337"")+IMPORTRANGE(""https://docs.google.com/spreadsheets/d/1B0f2xJpZUC6Z0xXnqKlZtEPzsf6L84eP1r1Q15seqRM/edit?usp=sharing"",""สุโขทัย!N337"")+IMPORTRANGE(""http"&amp;"s://docs.google.com/spreadsheets/d/1v0b9pFQCsKUVExMei7AgY2yQkdeNQvtOssygGsXbiKo/edit?usp=sharing"",""อุตรดิตถ์!N337"")+IMPORTRANGE(""https://docs.google.com/spreadsheets/d/1UsNK1e-WWiCo2PvGqdNfdme4m17_Ezd3J69EeeiQPD0/edit?usp=sharing"",""อุทัยธานี!N337"")"),0)</f>
        <v>0</v>
      </c>
      <c r="O337" s="59">
        <f t="shared" ca="1" si="147"/>
        <v>0</v>
      </c>
      <c r="P337" s="59">
        <f t="shared" ca="1" si="148"/>
        <v>0</v>
      </c>
    </row>
    <row r="338" spans="1:16" ht="18.75" x14ac:dyDescent="0.25">
      <c r="A338" s="157"/>
      <c r="B338" s="53"/>
      <c r="C338" s="53"/>
      <c r="D338" s="53"/>
      <c r="E338" s="60" t="s">
        <v>35</v>
      </c>
      <c r="F338" s="53"/>
      <c r="G338" s="55"/>
      <c r="H338" s="163" t="s">
        <v>12</v>
      </c>
      <c r="I338" s="164"/>
      <c r="J338" s="164"/>
      <c r="K338" s="165"/>
      <c r="L338" s="59">
        <f ca="1">IFERROR(__xludf.DUMMYFUNCTION("IMPORTRANGE(""https://docs.google.com/spreadsheets/d/1jTcq05yEiRwXcBMLjiodW9e4biSGYWAHcDj22rKWQ3s/edit?usp=sharing"",""กำแพงเพชร!L338"")+IMPORTRANGE(""https://docs.google.com/spreadsheets/d/1KS0zmDSZPk8KnTAbGN-Xk6MtX1YRZD0ldgdt20K4CRk/edit?usp=sharing"","&amp;"""เชียงราย!L338"")+IMPORTRANGE(""https://docs.google.com/spreadsheets/d/1rEDxBtusbi64tE0zunoIbsTVV16HeL0oJ6trHQeQ7K8/edit?usp=sharing"",""เชียงใหม่!L338"")+IMPORTRANGE(""https://docs.google.com/spreadsheets/d/1W6MnUbDkMi6xHnHko_XkFDO9kkuL6Wqyc-6OCDFjW9I/e"&amp;"dit?usp=sharing"",""ตาก!L338"")+IMPORTRANGE(""https://docs.google.com/spreadsheets/d/1IQAWArduLkta9LpYo4a_ULsyqdta6-6aDDiwpUnQT6c/edit?usp=sharing"",""นครสวรรค์!L338"")+IMPORTRANGE(""https://docs.google.com/spreadsheets/d/10s13Sk5xrltsiR-Zkbmk5DwIaDIKO8Xl"&amp;"bJAfqyT7Gvg/edit?usp=sharing"",""น่าน!L338"")+IMPORTRANGE(""https://docs.google.com/spreadsheets/d/1uu4nAn4Dbi1XREnLKKotUANlKXa7yCgRcgq8HEzQYW8/edit?usp=sharing"",""พะเยา!L338"")+IMPORTRANGE(""https://docs.google.com/spreadsheets/d/1xfJKIQxVOaPDIICqsflNlL"&amp;"u3JacTDk1FP9RH4phX7mI/edit?usp=sharing"",""พิจิตร!L338"")+IMPORTRANGE(""https://docs.google.com/spreadsheets/d/1JtRfZkJMHtEhI5RdRHxYUG4FIZHqKDpNyIuN7A1Q0_k/edit?usp=sharing"",""พิษณุโลก!L338"")+IMPORTRANGE(""https://docs.google.com/spreadsheets/d/1xlcVZWU"&amp;"Nn6SuWm0c307h32SiGkd9BaeQWlAktfD3KO8/edit?usp=sharing"",""เพชรบูรณ์!L338"")+IMPORTRANGE(""https://docs.google.com/spreadsheets/d/1lOVebEIsI9qjGXl6EX66luk7wiuP2tBaryw-wKvv4e0/edit?usp=sharing"",""แพร่!L338"")+IMPORTRANGE(""https://docs.google.com/spreadshe"&amp;"ets/d/1dQrvX0vEcN7Gu0fnZ0B5S90AeR19zth4XlExFBeExMY/edit?usp=sharing"",""แม่ฮ่องสอน!L338"")+IMPORTRANGE(""https://docs.google.com/spreadsheets/d/1DY4XTNNwjluuxqdfdn6qvOSlMRrZqUtmYcZR0ttFiG4/edit?usp=sharing"",""ลำปาง!L338"")+IMPORTRANGE(""https://docs.goog"&amp;"le.com/spreadsheets/d/1ICwG78r0OFT8biBlxnBF8r7she7gNSzOvJ958PWT09c/edit?usp=sharing"",""ลำพูน!L338"")+IMPORTRANGE(""https://docs.google.com/spreadsheets/d/1B0f2xJpZUC6Z0xXnqKlZtEPzsf6L84eP1r1Q15seqRM/edit?usp=sharing"",""สุโขทัย!L338"")+IMPORTRANGE(""http"&amp;"s://docs.google.com/spreadsheets/d/1v0b9pFQCsKUVExMei7AgY2yQkdeNQvtOssygGsXbiKo/edit?usp=sharing"",""อุตรดิตถ์!L338"")+IMPORTRANGE(""https://docs.google.com/spreadsheets/d/1UsNK1e-WWiCo2PvGqdNfdme4m17_Ezd3J69EeeiQPD0/edit?usp=sharing"",""อุทัยธานี!L338"")"),1861000)</f>
        <v>1861000</v>
      </c>
      <c r="M338" s="59">
        <f ca="1">IFERROR(__xludf.DUMMYFUNCTION("IMPORTRANGE(""https://docs.google.com/spreadsheets/d/1jTcq05yEiRwXcBMLjiodW9e4biSGYWAHcDj22rKWQ3s/edit?usp=sharing"",""กำแพงเพชร!M338"")+IMPORTRANGE(""https://docs.google.com/spreadsheets/d/1KS0zmDSZPk8KnTAbGN-Xk6MtX1YRZD0ldgdt20K4CRk/edit?usp=sharing"","&amp;"""เชียงราย!M338"")+IMPORTRANGE(""https://docs.google.com/spreadsheets/d/1rEDxBtusbi64tE0zunoIbsTVV16HeL0oJ6trHQeQ7K8/edit?usp=sharing"",""เชียงใหม่!M338"")+IMPORTRANGE(""https://docs.google.com/spreadsheets/d/1W6MnUbDkMi6xHnHko_XkFDO9kkuL6Wqyc-6OCDFjW9I/e"&amp;"dit?usp=sharing"",""ตาก!M338"")+IMPORTRANGE(""https://docs.google.com/spreadsheets/d/1IQAWArduLkta9LpYo4a_ULsyqdta6-6aDDiwpUnQT6c/edit?usp=sharing"",""นครสวรรค์!M338"")+IMPORTRANGE(""https://docs.google.com/spreadsheets/d/10s13Sk5xrltsiR-Zkbmk5DwIaDIKO8Xl"&amp;"bJAfqyT7Gvg/edit?usp=sharing"",""น่าน!M338"")+IMPORTRANGE(""https://docs.google.com/spreadsheets/d/1uu4nAn4Dbi1XREnLKKotUANlKXa7yCgRcgq8HEzQYW8/edit?usp=sharing"",""พะเยา!M338"")+IMPORTRANGE(""https://docs.google.com/spreadsheets/d/1xfJKIQxVOaPDIICqsflNlL"&amp;"u3JacTDk1FP9RH4phX7mI/edit?usp=sharing"",""พิจิตร!M338"")+IMPORTRANGE(""https://docs.google.com/spreadsheets/d/1JtRfZkJMHtEhI5RdRHxYUG4FIZHqKDpNyIuN7A1Q0_k/edit?usp=sharing"",""พิษณุโลก!M338"")+IMPORTRANGE(""https://docs.google.com/spreadsheets/d/1xlcVZWU"&amp;"Nn6SuWm0c307h32SiGkd9BaeQWlAktfD3KO8/edit?usp=sharing"",""เพชรบูรณ์!M338"")+IMPORTRANGE(""https://docs.google.com/spreadsheets/d/1lOVebEIsI9qjGXl6EX66luk7wiuP2tBaryw-wKvv4e0/edit?usp=sharing"",""แพร่!M338"")+IMPORTRANGE(""https://docs.google.com/spreadshe"&amp;"ets/d/1dQrvX0vEcN7Gu0fnZ0B5S90AeR19zth4XlExFBeExMY/edit?usp=sharing"",""แม่ฮ่องสอน!M338"")+IMPORTRANGE(""https://docs.google.com/spreadsheets/d/1DY4XTNNwjluuxqdfdn6qvOSlMRrZqUtmYcZR0ttFiG4/edit?usp=sharing"",""ลำปาง!M338"")+IMPORTRANGE(""https://docs.goog"&amp;"le.com/spreadsheets/d/1ICwG78r0OFT8biBlxnBF8r7she7gNSzOvJ958PWT09c/edit?usp=sharing"",""ลำพูน!M338"")+IMPORTRANGE(""https://docs.google.com/spreadsheets/d/1B0f2xJpZUC6Z0xXnqKlZtEPzsf6L84eP1r1Q15seqRM/edit?usp=sharing"",""สุโขทัย!M338"")+IMPORTRANGE(""http"&amp;"s://docs.google.com/spreadsheets/d/1v0b9pFQCsKUVExMei7AgY2yQkdeNQvtOssygGsXbiKo/edit?usp=sharing"",""อุตรดิตถ์!M338"")+IMPORTRANGE(""https://docs.google.com/spreadsheets/d/1UsNK1e-WWiCo2PvGqdNfdme4m17_Ezd3J69EeeiQPD0/edit?usp=sharing"",""อุทัยธานี!M338"")"),1469750)</f>
        <v>1469750</v>
      </c>
      <c r="N338" s="59">
        <f ca="1">IFERROR(__xludf.DUMMYFUNCTION("IMPORTRANGE(""https://docs.google.com/spreadsheets/d/1jTcq05yEiRwXcBMLjiodW9e4biSGYWAHcDj22rKWQ3s/edit?usp=sharing"",""กำแพงเพชร!N338"")+IMPORTRANGE(""https://docs.google.com/spreadsheets/d/1KS0zmDSZPk8KnTAbGN-Xk6MtX1YRZD0ldgdt20K4CRk/edit?usp=sharing"","&amp;"""เชียงราย!N338"")+IMPORTRANGE(""https://docs.google.com/spreadsheets/d/1rEDxBtusbi64tE0zunoIbsTVV16HeL0oJ6trHQeQ7K8/edit?usp=sharing"",""เชียงใหม่!N338"")+IMPORTRANGE(""https://docs.google.com/spreadsheets/d/1W6MnUbDkMi6xHnHko_XkFDO9kkuL6Wqyc-6OCDFjW9I/e"&amp;"dit?usp=sharing"",""ตาก!N338"")+IMPORTRANGE(""https://docs.google.com/spreadsheets/d/1IQAWArduLkta9LpYo4a_ULsyqdta6-6aDDiwpUnQT6c/edit?usp=sharing"",""นครสวรรค์!N338"")+IMPORTRANGE(""https://docs.google.com/spreadsheets/d/10s13Sk5xrltsiR-Zkbmk5DwIaDIKO8Xl"&amp;"bJAfqyT7Gvg/edit?usp=sharing"",""น่าน!N338"")+IMPORTRANGE(""https://docs.google.com/spreadsheets/d/1uu4nAn4Dbi1XREnLKKotUANlKXa7yCgRcgq8HEzQYW8/edit?usp=sharing"",""พะเยา!N338"")+IMPORTRANGE(""https://docs.google.com/spreadsheets/d/1xfJKIQxVOaPDIICqsflNlL"&amp;"u3JacTDk1FP9RH4phX7mI/edit?usp=sharing"",""พิจิตร!N338"")+IMPORTRANGE(""https://docs.google.com/spreadsheets/d/1JtRfZkJMHtEhI5RdRHxYUG4FIZHqKDpNyIuN7A1Q0_k/edit?usp=sharing"",""พิษณุโลก!N338"")+IMPORTRANGE(""https://docs.google.com/spreadsheets/d/1xlcVZWU"&amp;"Nn6SuWm0c307h32SiGkd9BaeQWlAktfD3KO8/edit?usp=sharing"",""เพชรบูรณ์!N338"")+IMPORTRANGE(""https://docs.google.com/spreadsheets/d/1lOVebEIsI9qjGXl6EX66luk7wiuP2tBaryw-wKvv4e0/edit?usp=sharing"",""แพร่!N338"")+IMPORTRANGE(""https://docs.google.com/spreadshe"&amp;"ets/d/1dQrvX0vEcN7Gu0fnZ0B5S90AeR19zth4XlExFBeExMY/edit?usp=sharing"",""แม่ฮ่องสอน!N338"")+IMPORTRANGE(""https://docs.google.com/spreadsheets/d/1DY4XTNNwjluuxqdfdn6qvOSlMRrZqUtmYcZR0ttFiG4/edit?usp=sharing"",""ลำปาง!N338"")+IMPORTRANGE(""https://docs.goog"&amp;"le.com/spreadsheets/d/1ICwG78r0OFT8biBlxnBF8r7she7gNSzOvJ958PWT09c/edit?usp=sharing"",""ลำพูน!N338"")+IMPORTRANGE(""https://docs.google.com/spreadsheets/d/1B0f2xJpZUC6Z0xXnqKlZtEPzsf6L84eP1r1Q15seqRM/edit?usp=sharing"",""สุโขทัย!N338"")+IMPORTRANGE(""http"&amp;"s://docs.google.com/spreadsheets/d/1v0b9pFQCsKUVExMei7AgY2yQkdeNQvtOssygGsXbiKo/edit?usp=sharing"",""อุตรดิตถ์!N338"")+IMPORTRANGE(""https://docs.google.com/spreadsheets/d/1UsNK1e-WWiCo2PvGqdNfdme4m17_Ezd3J69EeeiQPD0/edit?usp=sharing"",""อุทัยธานี!N338"")"),540347.669999999)</f>
        <v>540347.66999999899</v>
      </c>
      <c r="O338" s="59">
        <f t="shared" ca="1" si="147"/>
        <v>29.035339602364264</v>
      </c>
      <c r="P338" s="59">
        <f t="shared" ca="1" si="148"/>
        <v>36.764597380506821</v>
      </c>
    </row>
    <row r="339" spans="1:16" ht="18.75" x14ac:dyDescent="0.25">
      <c r="A339" s="157"/>
      <c r="B339" s="53"/>
      <c r="C339" s="53"/>
      <c r="D339" s="54" t="s">
        <v>21</v>
      </c>
      <c r="E339" s="53"/>
      <c r="F339" s="53"/>
      <c r="G339" s="55"/>
      <c r="H339" s="166" t="s">
        <v>12</v>
      </c>
      <c r="I339" s="164"/>
      <c r="J339" s="164"/>
      <c r="K339" s="165"/>
      <c r="L339" s="59">
        <f t="shared" ref="L339:N339" ca="1" si="152">L340+L341</f>
        <v>0</v>
      </c>
      <c r="M339" s="59">
        <f t="shared" ca="1" si="152"/>
        <v>0</v>
      </c>
      <c r="N339" s="59">
        <f t="shared" ca="1" si="152"/>
        <v>0</v>
      </c>
      <c r="O339" s="59">
        <f t="shared" ca="1" si="147"/>
        <v>0</v>
      </c>
      <c r="P339" s="59">
        <f t="shared" ca="1" si="148"/>
        <v>0</v>
      </c>
    </row>
    <row r="340" spans="1:16" ht="18.75" x14ac:dyDescent="0.25">
      <c r="A340" s="157"/>
      <c r="B340" s="53"/>
      <c r="C340" s="53"/>
      <c r="D340" s="53"/>
      <c r="E340" s="60" t="s">
        <v>18</v>
      </c>
      <c r="F340" s="53"/>
      <c r="G340" s="55"/>
      <c r="H340" s="163" t="s">
        <v>12</v>
      </c>
      <c r="I340" s="164"/>
      <c r="J340" s="164"/>
      <c r="K340" s="165"/>
      <c r="L340" s="59">
        <f ca="1">IFERROR(__xludf.DUMMYFUNCTION("IMPORTRANGE(""https://docs.google.com/spreadsheets/d/1jTcq05yEiRwXcBMLjiodW9e4biSGYWAHcDj22rKWQ3s/edit?usp=sharing"",""กำแพงเพชร!L340"")+IMPORTRANGE(""https://docs.google.com/spreadsheets/d/1KS0zmDSZPk8KnTAbGN-Xk6MtX1YRZD0ldgdt20K4CRk/edit?usp=sharing"","&amp;"""เชียงราย!L340"")+IMPORTRANGE(""https://docs.google.com/spreadsheets/d/1rEDxBtusbi64tE0zunoIbsTVV16HeL0oJ6trHQeQ7K8/edit?usp=sharing"",""เชียงใหม่!L340"")+IMPORTRANGE(""https://docs.google.com/spreadsheets/d/1W6MnUbDkMi6xHnHko_XkFDO9kkuL6Wqyc-6OCDFjW9I/e"&amp;"dit?usp=sharing"",""ตาก!L340"")+IMPORTRANGE(""https://docs.google.com/spreadsheets/d/1IQAWArduLkta9LpYo4a_ULsyqdta6-6aDDiwpUnQT6c/edit?usp=sharing"",""นครสวรรค์!L340"")+IMPORTRANGE(""https://docs.google.com/spreadsheets/d/10s13Sk5xrltsiR-Zkbmk5DwIaDIKO8Xl"&amp;"bJAfqyT7Gvg/edit?usp=sharing"",""น่าน!L340"")+IMPORTRANGE(""https://docs.google.com/spreadsheets/d/1uu4nAn4Dbi1XREnLKKotUANlKXa7yCgRcgq8HEzQYW8/edit?usp=sharing"",""พะเยา!L340"")+IMPORTRANGE(""https://docs.google.com/spreadsheets/d/1xfJKIQxVOaPDIICqsflNlL"&amp;"u3JacTDk1FP9RH4phX7mI/edit?usp=sharing"",""พิจิตร!L340"")+IMPORTRANGE(""https://docs.google.com/spreadsheets/d/1JtRfZkJMHtEhI5RdRHxYUG4FIZHqKDpNyIuN7A1Q0_k/edit?usp=sharing"",""พิษณุโลก!L340"")+IMPORTRANGE(""https://docs.google.com/spreadsheets/d/1xlcVZWU"&amp;"Nn6SuWm0c307h32SiGkd9BaeQWlAktfD3KO8/edit?usp=sharing"",""เพชรบูรณ์!L340"")+IMPORTRANGE(""https://docs.google.com/spreadsheets/d/1lOVebEIsI9qjGXl6EX66luk7wiuP2tBaryw-wKvv4e0/edit?usp=sharing"",""แพร่!L340"")+IMPORTRANGE(""https://docs.google.com/spreadshe"&amp;"ets/d/1dQrvX0vEcN7Gu0fnZ0B5S90AeR19zth4XlExFBeExMY/edit?usp=sharing"",""แม่ฮ่องสอน!L340"")+IMPORTRANGE(""https://docs.google.com/spreadsheets/d/1DY4XTNNwjluuxqdfdn6qvOSlMRrZqUtmYcZR0ttFiG4/edit?usp=sharing"",""ลำปาง!L340"")+IMPORTRANGE(""https://docs.goog"&amp;"le.com/spreadsheets/d/1ICwG78r0OFT8biBlxnBF8r7she7gNSzOvJ958PWT09c/edit?usp=sharing"",""ลำพูน!L340"")+IMPORTRANGE(""https://docs.google.com/spreadsheets/d/1B0f2xJpZUC6Z0xXnqKlZtEPzsf6L84eP1r1Q15seqRM/edit?usp=sharing"",""สุโขทัย!L340"")+IMPORTRANGE(""http"&amp;"s://docs.google.com/spreadsheets/d/1v0b9pFQCsKUVExMei7AgY2yQkdeNQvtOssygGsXbiKo/edit?usp=sharing"",""อุตรดิตถ์!L340"")+IMPORTRANGE(""https://docs.google.com/spreadsheets/d/1UsNK1e-WWiCo2PvGqdNfdme4m17_Ezd3J69EeeiQPD0/edit?usp=sharing"",""อุทัยธานี!L340"")"),0)</f>
        <v>0</v>
      </c>
      <c r="M340" s="59">
        <f ca="1">IFERROR(__xludf.DUMMYFUNCTION("IMPORTRANGE(""https://docs.google.com/spreadsheets/d/1jTcq05yEiRwXcBMLjiodW9e4biSGYWAHcDj22rKWQ3s/edit?usp=sharing"",""กำแพงเพชร!M340"")+IMPORTRANGE(""https://docs.google.com/spreadsheets/d/1KS0zmDSZPk8KnTAbGN-Xk6MtX1YRZD0ldgdt20K4CRk/edit?usp=sharing"","&amp;"""เชียงราย!M340"")+IMPORTRANGE(""https://docs.google.com/spreadsheets/d/1rEDxBtusbi64tE0zunoIbsTVV16HeL0oJ6trHQeQ7K8/edit?usp=sharing"",""เชียงใหม่!M340"")+IMPORTRANGE(""https://docs.google.com/spreadsheets/d/1W6MnUbDkMi6xHnHko_XkFDO9kkuL6Wqyc-6OCDFjW9I/e"&amp;"dit?usp=sharing"",""ตาก!M340"")+IMPORTRANGE(""https://docs.google.com/spreadsheets/d/1IQAWArduLkta9LpYo4a_ULsyqdta6-6aDDiwpUnQT6c/edit?usp=sharing"",""นครสวรรค์!M340"")+IMPORTRANGE(""https://docs.google.com/spreadsheets/d/10s13Sk5xrltsiR-Zkbmk5DwIaDIKO8Xl"&amp;"bJAfqyT7Gvg/edit?usp=sharing"",""น่าน!M340"")+IMPORTRANGE(""https://docs.google.com/spreadsheets/d/1uu4nAn4Dbi1XREnLKKotUANlKXa7yCgRcgq8HEzQYW8/edit?usp=sharing"",""พะเยา!M340"")+IMPORTRANGE(""https://docs.google.com/spreadsheets/d/1xfJKIQxVOaPDIICqsflNlL"&amp;"u3JacTDk1FP9RH4phX7mI/edit?usp=sharing"",""พิจิตร!M340"")+IMPORTRANGE(""https://docs.google.com/spreadsheets/d/1JtRfZkJMHtEhI5RdRHxYUG4FIZHqKDpNyIuN7A1Q0_k/edit?usp=sharing"",""พิษณุโลก!M340"")+IMPORTRANGE(""https://docs.google.com/spreadsheets/d/1xlcVZWU"&amp;"Nn6SuWm0c307h32SiGkd9BaeQWlAktfD3KO8/edit?usp=sharing"",""เพชรบูรณ์!M340"")+IMPORTRANGE(""https://docs.google.com/spreadsheets/d/1lOVebEIsI9qjGXl6EX66luk7wiuP2tBaryw-wKvv4e0/edit?usp=sharing"",""แพร่!M340"")+IMPORTRANGE(""https://docs.google.com/spreadshe"&amp;"ets/d/1dQrvX0vEcN7Gu0fnZ0B5S90AeR19zth4XlExFBeExMY/edit?usp=sharing"",""แม่ฮ่องสอน!M340"")+IMPORTRANGE(""https://docs.google.com/spreadsheets/d/1DY4XTNNwjluuxqdfdn6qvOSlMRrZqUtmYcZR0ttFiG4/edit?usp=sharing"",""ลำปาง!M340"")+IMPORTRANGE(""https://docs.goog"&amp;"le.com/spreadsheets/d/1ICwG78r0OFT8biBlxnBF8r7she7gNSzOvJ958PWT09c/edit?usp=sharing"",""ลำพูน!M340"")+IMPORTRANGE(""https://docs.google.com/spreadsheets/d/1B0f2xJpZUC6Z0xXnqKlZtEPzsf6L84eP1r1Q15seqRM/edit?usp=sharing"",""สุโขทัย!M340"")+IMPORTRANGE(""http"&amp;"s://docs.google.com/spreadsheets/d/1v0b9pFQCsKUVExMei7AgY2yQkdeNQvtOssygGsXbiKo/edit?usp=sharing"",""อุตรดิตถ์!M340"")+IMPORTRANGE(""https://docs.google.com/spreadsheets/d/1UsNK1e-WWiCo2PvGqdNfdme4m17_Ezd3J69EeeiQPD0/edit?usp=sharing"",""อุทัยธานี!M340"")"),0)</f>
        <v>0</v>
      </c>
      <c r="N340" s="59">
        <f ca="1">IFERROR(__xludf.DUMMYFUNCTION("IMPORTRANGE(""https://docs.google.com/spreadsheets/d/1jTcq05yEiRwXcBMLjiodW9e4biSGYWAHcDj22rKWQ3s/edit?usp=sharing"",""กำแพงเพชร!N340"")+IMPORTRANGE(""https://docs.google.com/spreadsheets/d/1KS0zmDSZPk8KnTAbGN-Xk6MtX1YRZD0ldgdt20K4CRk/edit?usp=sharing"","&amp;"""เชียงราย!N340"")+IMPORTRANGE(""https://docs.google.com/spreadsheets/d/1rEDxBtusbi64tE0zunoIbsTVV16HeL0oJ6trHQeQ7K8/edit?usp=sharing"",""เชียงใหม่!N340"")+IMPORTRANGE(""https://docs.google.com/spreadsheets/d/1W6MnUbDkMi6xHnHko_XkFDO9kkuL6Wqyc-6OCDFjW9I/e"&amp;"dit?usp=sharing"",""ตาก!N340"")+IMPORTRANGE(""https://docs.google.com/spreadsheets/d/1IQAWArduLkta9LpYo4a_ULsyqdta6-6aDDiwpUnQT6c/edit?usp=sharing"",""นครสวรรค์!N340"")+IMPORTRANGE(""https://docs.google.com/spreadsheets/d/10s13Sk5xrltsiR-Zkbmk5DwIaDIKO8Xl"&amp;"bJAfqyT7Gvg/edit?usp=sharing"",""น่าน!N340"")+IMPORTRANGE(""https://docs.google.com/spreadsheets/d/1uu4nAn4Dbi1XREnLKKotUANlKXa7yCgRcgq8HEzQYW8/edit?usp=sharing"",""พะเยา!N340"")+IMPORTRANGE(""https://docs.google.com/spreadsheets/d/1xfJKIQxVOaPDIICqsflNlL"&amp;"u3JacTDk1FP9RH4phX7mI/edit?usp=sharing"",""พิจิตร!N340"")+IMPORTRANGE(""https://docs.google.com/spreadsheets/d/1JtRfZkJMHtEhI5RdRHxYUG4FIZHqKDpNyIuN7A1Q0_k/edit?usp=sharing"",""พิษณุโลก!N340"")+IMPORTRANGE(""https://docs.google.com/spreadsheets/d/1xlcVZWU"&amp;"Nn6SuWm0c307h32SiGkd9BaeQWlAktfD3KO8/edit?usp=sharing"",""เพชรบูรณ์!N340"")+IMPORTRANGE(""https://docs.google.com/spreadsheets/d/1lOVebEIsI9qjGXl6EX66luk7wiuP2tBaryw-wKvv4e0/edit?usp=sharing"",""แพร่!N340"")+IMPORTRANGE(""https://docs.google.com/spreadshe"&amp;"ets/d/1dQrvX0vEcN7Gu0fnZ0B5S90AeR19zth4XlExFBeExMY/edit?usp=sharing"",""แม่ฮ่องสอน!N340"")+IMPORTRANGE(""https://docs.google.com/spreadsheets/d/1DY4XTNNwjluuxqdfdn6qvOSlMRrZqUtmYcZR0ttFiG4/edit?usp=sharing"",""ลำปาง!N340"")+IMPORTRANGE(""https://docs.goog"&amp;"le.com/spreadsheets/d/1ICwG78r0OFT8biBlxnBF8r7she7gNSzOvJ958PWT09c/edit?usp=sharing"",""ลำพูน!N340"")+IMPORTRANGE(""https://docs.google.com/spreadsheets/d/1B0f2xJpZUC6Z0xXnqKlZtEPzsf6L84eP1r1Q15seqRM/edit?usp=sharing"",""สุโขทัย!N340"")+IMPORTRANGE(""http"&amp;"s://docs.google.com/spreadsheets/d/1v0b9pFQCsKUVExMei7AgY2yQkdeNQvtOssygGsXbiKo/edit?usp=sharing"",""อุตรดิตถ์!N340"")+IMPORTRANGE(""https://docs.google.com/spreadsheets/d/1UsNK1e-WWiCo2PvGqdNfdme4m17_Ezd3J69EeeiQPD0/edit?usp=sharing"",""อุทัยธานี!N340"")"),0)</f>
        <v>0</v>
      </c>
      <c r="O340" s="59">
        <f t="shared" ca="1" si="147"/>
        <v>0</v>
      </c>
      <c r="P340" s="59">
        <f t="shared" ca="1" si="148"/>
        <v>0</v>
      </c>
    </row>
    <row r="341" spans="1:16" ht="18.75" x14ac:dyDescent="0.25">
      <c r="A341" s="157"/>
      <c r="B341" s="53"/>
      <c r="C341" s="53"/>
      <c r="D341" s="53"/>
      <c r="E341" s="60" t="s">
        <v>19</v>
      </c>
      <c r="F341" s="53"/>
      <c r="G341" s="55"/>
      <c r="H341" s="166" t="s">
        <v>12</v>
      </c>
      <c r="I341" s="164"/>
      <c r="J341" s="164"/>
      <c r="K341" s="165"/>
      <c r="L341" s="59">
        <f ca="1">IFERROR(__xludf.DUMMYFUNCTION("IMPORTRANGE(""https://docs.google.com/spreadsheets/d/1jTcq05yEiRwXcBMLjiodW9e4biSGYWAHcDj22rKWQ3s/edit?usp=sharing"",""กำแพงเพชร!L341"")+IMPORTRANGE(""https://docs.google.com/spreadsheets/d/1KS0zmDSZPk8KnTAbGN-Xk6MtX1YRZD0ldgdt20K4CRk/edit?usp=sharing"","&amp;"""เชียงราย!L341"")+IMPORTRANGE(""https://docs.google.com/spreadsheets/d/1rEDxBtusbi64tE0zunoIbsTVV16HeL0oJ6trHQeQ7K8/edit?usp=sharing"",""เชียงใหม่!L341"")+IMPORTRANGE(""https://docs.google.com/spreadsheets/d/1W6MnUbDkMi6xHnHko_XkFDO9kkuL6Wqyc-6OCDFjW9I/e"&amp;"dit?usp=sharing"",""ตาก!L341"")+IMPORTRANGE(""https://docs.google.com/spreadsheets/d/1IQAWArduLkta9LpYo4a_ULsyqdta6-6aDDiwpUnQT6c/edit?usp=sharing"",""นครสวรรค์!L341"")+IMPORTRANGE(""https://docs.google.com/spreadsheets/d/10s13Sk5xrltsiR-Zkbmk5DwIaDIKO8Xl"&amp;"bJAfqyT7Gvg/edit?usp=sharing"",""น่าน!L341"")+IMPORTRANGE(""https://docs.google.com/spreadsheets/d/1uu4nAn4Dbi1XREnLKKotUANlKXa7yCgRcgq8HEzQYW8/edit?usp=sharing"",""พะเยา!L341"")+IMPORTRANGE(""https://docs.google.com/spreadsheets/d/1xfJKIQxVOaPDIICqsflNlL"&amp;"u3JacTDk1FP9RH4phX7mI/edit?usp=sharing"",""พิจิตร!L341"")+IMPORTRANGE(""https://docs.google.com/spreadsheets/d/1JtRfZkJMHtEhI5RdRHxYUG4FIZHqKDpNyIuN7A1Q0_k/edit?usp=sharing"",""พิษณุโลก!L341"")+IMPORTRANGE(""https://docs.google.com/spreadsheets/d/1xlcVZWU"&amp;"Nn6SuWm0c307h32SiGkd9BaeQWlAktfD3KO8/edit?usp=sharing"",""เพชรบูรณ์!L341"")+IMPORTRANGE(""https://docs.google.com/spreadsheets/d/1lOVebEIsI9qjGXl6EX66luk7wiuP2tBaryw-wKvv4e0/edit?usp=sharing"",""แพร่!L341"")+IMPORTRANGE(""https://docs.google.com/spreadshe"&amp;"ets/d/1dQrvX0vEcN7Gu0fnZ0B5S90AeR19zth4XlExFBeExMY/edit?usp=sharing"",""แม่ฮ่องสอน!L341"")+IMPORTRANGE(""https://docs.google.com/spreadsheets/d/1DY4XTNNwjluuxqdfdn6qvOSlMRrZqUtmYcZR0ttFiG4/edit?usp=sharing"",""ลำปาง!L341"")+IMPORTRANGE(""https://docs.goog"&amp;"le.com/spreadsheets/d/1ICwG78r0OFT8biBlxnBF8r7she7gNSzOvJ958PWT09c/edit?usp=sharing"",""ลำพูน!L341"")+IMPORTRANGE(""https://docs.google.com/spreadsheets/d/1B0f2xJpZUC6Z0xXnqKlZtEPzsf6L84eP1r1Q15seqRM/edit?usp=sharing"",""สุโขทัย!L341"")+IMPORTRANGE(""http"&amp;"s://docs.google.com/spreadsheets/d/1v0b9pFQCsKUVExMei7AgY2yQkdeNQvtOssygGsXbiKo/edit?usp=sharing"",""อุตรดิตถ์!L341"")+IMPORTRANGE(""https://docs.google.com/spreadsheets/d/1UsNK1e-WWiCo2PvGqdNfdme4m17_Ezd3J69EeeiQPD0/edit?usp=sharing"",""อุทัยธานี!L341"")"),0)</f>
        <v>0</v>
      </c>
      <c r="M341" s="59">
        <f ca="1">IFERROR(__xludf.DUMMYFUNCTION("IMPORTRANGE(""https://docs.google.com/spreadsheets/d/1jTcq05yEiRwXcBMLjiodW9e4biSGYWAHcDj22rKWQ3s/edit?usp=sharing"",""กำแพงเพชร!M341"")+IMPORTRANGE(""https://docs.google.com/spreadsheets/d/1KS0zmDSZPk8KnTAbGN-Xk6MtX1YRZD0ldgdt20K4CRk/edit?usp=sharing"","&amp;"""เชียงราย!M341"")+IMPORTRANGE(""https://docs.google.com/spreadsheets/d/1rEDxBtusbi64tE0zunoIbsTVV16HeL0oJ6trHQeQ7K8/edit?usp=sharing"",""เชียงใหม่!M341"")+IMPORTRANGE(""https://docs.google.com/spreadsheets/d/1W6MnUbDkMi6xHnHko_XkFDO9kkuL6Wqyc-6OCDFjW9I/e"&amp;"dit?usp=sharing"",""ตาก!M341"")+IMPORTRANGE(""https://docs.google.com/spreadsheets/d/1IQAWArduLkta9LpYo4a_ULsyqdta6-6aDDiwpUnQT6c/edit?usp=sharing"",""นครสวรรค์!M341"")+IMPORTRANGE(""https://docs.google.com/spreadsheets/d/10s13Sk5xrltsiR-Zkbmk5DwIaDIKO8Xl"&amp;"bJAfqyT7Gvg/edit?usp=sharing"",""น่าน!M341"")+IMPORTRANGE(""https://docs.google.com/spreadsheets/d/1uu4nAn4Dbi1XREnLKKotUANlKXa7yCgRcgq8HEzQYW8/edit?usp=sharing"",""พะเยา!M341"")+IMPORTRANGE(""https://docs.google.com/spreadsheets/d/1xfJKIQxVOaPDIICqsflNlL"&amp;"u3JacTDk1FP9RH4phX7mI/edit?usp=sharing"",""พิจิตร!M341"")+IMPORTRANGE(""https://docs.google.com/spreadsheets/d/1JtRfZkJMHtEhI5RdRHxYUG4FIZHqKDpNyIuN7A1Q0_k/edit?usp=sharing"",""พิษณุโลก!M341"")+IMPORTRANGE(""https://docs.google.com/spreadsheets/d/1xlcVZWU"&amp;"Nn6SuWm0c307h32SiGkd9BaeQWlAktfD3KO8/edit?usp=sharing"",""เพชรบูรณ์!M341"")+IMPORTRANGE(""https://docs.google.com/spreadsheets/d/1lOVebEIsI9qjGXl6EX66luk7wiuP2tBaryw-wKvv4e0/edit?usp=sharing"",""แพร่!M341"")+IMPORTRANGE(""https://docs.google.com/spreadshe"&amp;"ets/d/1dQrvX0vEcN7Gu0fnZ0B5S90AeR19zth4XlExFBeExMY/edit?usp=sharing"",""แม่ฮ่องสอน!M341"")+IMPORTRANGE(""https://docs.google.com/spreadsheets/d/1DY4XTNNwjluuxqdfdn6qvOSlMRrZqUtmYcZR0ttFiG4/edit?usp=sharing"",""ลำปาง!M341"")+IMPORTRANGE(""https://docs.goog"&amp;"le.com/spreadsheets/d/1ICwG78r0OFT8biBlxnBF8r7she7gNSzOvJ958PWT09c/edit?usp=sharing"",""ลำพูน!M341"")+IMPORTRANGE(""https://docs.google.com/spreadsheets/d/1B0f2xJpZUC6Z0xXnqKlZtEPzsf6L84eP1r1Q15seqRM/edit?usp=sharing"",""สุโขทัย!M341"")+IMPORTRANGE(""http"&amp;"s://docs.google.com/spreadsheets/d/1v0b9pFQCsKUVExMei7AgY2yQkdeNQvtOssygGsXbiKo/edit?usp=sharing"",""อุตรดิตถ์!M341"")+IMPORTRANGE(""https://docs.google.com/spreadsheets/d/1UsNK1e-WWiCo2PvGqdNfdme4m17_Ezd3J69EeeiQPD0/edit?usp=sharing"",""อุทัยธานี!M341"")"),0)</f>
        <v>0</v>
      </c>
      <c r="N341" s="59">
        <f ca="1">IFERROR(__xludf.DUMMYFUNCTION("IMPORTRANGE(""https://docs.google.com/spreadsheets/d/1jTcq05yEiRwXcBMLjiodW9e4biSGYWAHcDj22rKWQ3s/edit?usp=sharing"",""กำแพงเพชร!N341"")+IMPORTRANGE(""https://docs.google.com/spreadsheets/d/1KS0zmDSZPk8KnTAbGN-Xk6MtX1YRZD0ldgdt20K4CRk/edit?usp=sharing"","&amp;"""เชียงราย!N341"")+IMPORTRANGE(""https://docs.google.com/spreadsheets/d/1rEDxBtusbi64tE0zunoIbsTVV16HeL0oJ6trHQeQ7K8/edit?usp=sharing"",""เชียงใหม่!N341"")+IMPORTRANGE(""https://docs.google.com/spreadsheets/d/1W6MnUbDkMi6xHnHko_XkFDO9kkuL6Wqyc-6OCDFjW9I/e"&amp;"dit?usp=sharing"",""ตาก!N341"")+IMPORTRANGE(""https://docs.google.com/spreadsheets/d/1IQAWArduLkta9LpYo4a_ULsyqdta6-6aDDiwpUnQT6c/edit?usp=sharing"",""นครสวรรค์!N341"")+IMPORTRANGE(""https://docs.google.com/spreadsheets/d/10s13Sk5xrltsiR-Zkbmk5DwIaDIKO8Xl"&amp;"bJAfqyT7Gvg/edit?usp=sharing"",""น่าน!N341"")+IMPORTRANGE(""https://docs.google.com/spreadsheets/d/1uu4nAn4Dbi1XREnLKKotUANlKXa7yCgRcgq8HEzQYW8/edit?usp=sharing"",""พะเยา!N341"")+IMPORTRANGE(""https://docs.google.com/spreadsheets/d/1xfJKIQxVOaPDIICqsflNlL"&amp;"u3JacTDk1FP9RH4phX7mI/edit?usp=sharing"",""พิจิตร!N341"")+IMPORTRANGE(""https://docs.google.com/spreadsheets/d/1JtRfZkJMHtEhI5RdRHxYUG4FIZHqKDpNyIuN7A1Q0_k/edit?usp=sharing"",""พิษณุโลก!N341"")+IMPORTRANGE(""https://docs.google.com/spreadsheets/d/1xlcVZWU"&amp;"Nn6SuWm0c307h32SiGkd9BaeQWlAktfD3KO8/edit?usp=sharing"",""เพชรบูรณ์!N341"")+IMPORTRANGE(""https://docs.google.com/spreadsheets/d/1lOVebEIsI9qjGXl6EX66luk7wiuP2tBaryw-wKvv4e0/edit?usp=sharing"",""แพร่!N341"")+IMPORTRANGE(""https://docs.google.com/spreadshe"&amp;"ets/d/1dQrvX0vEcN7Gu0fnZ0B5S90AeR19zth4XlExFBeExMY/edit?usp=sharing"",""แม่ฮ่องสอน!N341"")+IMPORTRANGE(""https://docs.google.com/spreadsheets/d/1DY4XTNNwjluuxqdfdn6qvOSlMRrZqUtmYcZR0ttFiG4/edit?usp=sharing"",""ลำปาง!N341"")+IMPORTRANGE(""https://docs.goog"&amp;"le.com/spreadsheets/d/1ICwG78r0OFT8biBlxnBF8r7she7gNSzOvJ958PWT09c/edit?usp=sharing"",""ลำพูน!N341"")+IMPORTRANGE(""https://docs.google.com/spreadsheets/d/1B0f2xJpZUC6Z0xXnqKlZtEPzsf6L84eP1r1Q15seqRM/edit?usp=sharing"",""สุโขทัย!N341"")+IMPORTRANGE(""http"&amp;"s://docs.google.com/spreadsheets/d/1v0b9pFQCsKUVExMei7AgY2yQkdeNQvtOssygGsXbiKo/edit?usp=sharing"",""อุตรดิตถ์!N341"")+IMPORTRANGE(""https://docs.google.com/spreadsheets/d/1UsNK1e-WWiCo2PvGqdNfdme4m17_Ezd3J69EeeiQPD0/edit?usp=sharing"",""อุทัยธานี!N341"")"),0)</f>
        <v>0</v>
      </c>
      <c r="O341" s="59">
        <f t="shared" ca="1" si="147"/>
        <v>0</v>
      </c>
      <c r="P341" s="59">
        <f t="shared" ca="1" si="148"/>
        <v>0</v>
      </c>
    </row>
    <row r="342" spans="1:16" ht="19.5" x14ac:dyDescent="0.3">
      <c r="A342" s="167"/>
      <c r="B342" s="168"/>
      <c r="C342" s="158" t="s">
        <v>16</v>
      </c>
      <c r="D342" s="404" t="s">
        <v>36</v>
      </c>
      <c r="E342" s="170"/>
      <c r="F342" s="170"/>
      <c r="G342" s="170"/>
      <c r="H342" s="405"/>
      <c r="I342" s="406"/>
      <c r="J342" s="406"/>
      <c r="K342" s="407"/>
      <c r="L342" s="58"/>
      <c r="M342" s="58"/>
      <c r="N342" s="58"/>
      <c r="O342" s="165"/>
      <c r="P342" s="16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17784</v>
      </c>
      <c r="K343" s="415">
        <v>0</v>
      </c>
      <c r="L343" s="416"/>
      <c r="M343" s="416"/>
      <c r="N343" s="416"/>
      <c r="O343" s="416"/>
      <c r="P343" s="416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jTcq05yEiRwXcBMLjiodW9e4biSGYWAHcDj22rKWQ3s/edit?usp=sharing"",""กำแพงเพชร!I344"")+IMPORTRANGE(""https://docs.google.com/spreadsheets/d/1KS0zmDSZPk8KnTAbGN-Xk6MtX1YRZD0ldgdt20K4CRk/edit?usp=sharing"","&amp;"""เชียงราย!I344"")+IMPORTRANGE(""https://docs.google.com/spreadsheets/d/1rEDxBtusbi64tE0zunoIbsTVV16HeL0oJ6trHQeQ7K8/edit?usp=sharing"",""เชียงใหม่!I344"")+IMPORTRANGE(""https://docs.google.com/spreadsheets/d/1W6MnUbDkMi6xHnHko_XkFDO9kkuL6Wqyc-6OCDFjW9I/e"&amp;"dit?usp=sharing"",""ตาก!I344"")+IMPORTRANGE(""https://docs.google.com/spreadsheets/d/1IQAWArduLkta9LpYo4a_ULsyqdta6-6aDDiwpUnQT6c/edit?usp=sharing"",""นครสวรรค์!I344"")+IMPORTRANGE(""https://docs.google.com/spreadsheets/d/10s13Sk5xrltsiR-Zkbmk5DwIaDIKO8Xl"&amp;"bJAfqyT7Gvg/edit?usp=sharing"",""น่าน!I344"")+IMPORTRANGE(""https://docs.google.com/spreadsheets/d/1uu4nAn4Dbi1XREnLKKotUANlKXa7yCgRcgq8HEzQYW8/edit?usp=sharing"",""พะเยา!I344"")+IMPORTRANGE(""https://docs.google.com/spreadsheets/d/1xfJKIQxVOaPDIICqsflNlL"&amp;"u3JacTDk1FP9RH4phX7mI/edit?usp=sharing"",""พิจิตร!I344"")+IMPORTRANGE(""https://docs.google.com/spreadsheets/d/1JtRfZkJMHtEhI5RdRHxYUG4FIZHqKDpNyIuN7A1Q0_k/edit?usp=sharing"",""พิษณุโลก!I344"")+IMPORTRANGE(""https://docs.google.com/spreadsheets/d/1xlcVZWU"&amp;"Nn6SuWm0c307h32SiGkd9BaeQWlAktfD3KO8/edit?usp=sharing"",""เพชรบูรณ์!I344"")+IMPORTRANGE(""https://docs.google.com/spreadsheets/d/1lOVebEIsI9qjGXl6EX66luk7wiuP2tBaryw-wKvv4e0/edit?usp=sharing"",""แพร่!I344"")+IMPORTRANGE(""https://docs.google.com/spreadshe"&amp;"ets/d/1dQrvX0vEcN7Gu0fnZ0B5S90AeR19zth4XlExFBeExMY/edit?usp=sharing"",""แม่ฮ่องสอน!I344"")+IMPORTRANGE(""https://docs.google.com/spreadsheets/d/1DY4XTNNwjluuxqdfdn6qvOSlMRrZqUtmYcZR0ttFiG4/edit?usp=sharing"",""ลำปาง!I344"")+IMPORTRANGE(""https://docs.goog"&amp;"le.com/spreadsheets/d/1ICwG78r0OFT8biBlxnBF8r7she7gNSzOvJ958PWT09c/edit?usp=sharing"",""ลำพูน!I344"")+IMPORTRANGE(""https://docs.google.com/spreadsheets/d/1B0f2xJpZUC6Z0xXnqKlZtEPzsf6L84eP1r1Q15seqRM/edit?usp=sharing"",""สุโขทัย!I344"")+IMPORTRANGE(""http"&amp;"s://docs.google.com/spreadsheets/d/1v0b9pFQCsKUVExMei7AgY2yQkdeNQvtOssygGsXbiKo/edit?usp=sharing"",""อุตรดิตถ์!I344"")+IMPORTRANGE(""https://docs.google.com/spreadsheets/d/1UsNK1e-WWiCo2PvGqdNfdme4m17_Ezd3J69EeeiQPD0/edit?usp=sharing"",""อุทัยธานี!I344"")"),31240)</f>
        <v>31240</v>
      </c>
      <c r="J344" s="424">
        <f ca="1">IFERROR(__xludf.DUMMYFUNCTION("IMPORTRANGE(""https://docs.google.com/spreadsheets/d/1jTcq05yEiRwXcBMLjiodW9e4biSGYWAHcDj22rKWQ3s/edit?usp=sharing"",""กำแพงเพชร!J344"")+IMPORTRANGE(""https://docs.google.com/spreadsheets/d/1KS0zmDSZPk8KnTAbGN-Xk6MtX1YRZD0ldgdt20K4CRk/edit?usp=sharing"","&amp;"""เชียงราย!J344"")+IMPORTRANGE(""https://docs.google.com/spreadsheets/d/1rEDxBtusbi64tE0zunoIbsTVV16HeL0oJ6trHQeQ7K8/edit?usp=sharing"",""เชียงใหม่!J344"")+IMPORTRANGE(""https://docs.google.com/spreadsheets/d/1W6MnUbDkMi6xHnHko_XkFDO9kkuL6Wqyc-6OCDFjW9I/e"&amp;"dit?usp=sharing"",""ตาก!J344"")+IMPORTRANGE(""https://docs.google.com/spreadsheets/d/1IQAWArduLkta9LpYo4a_ULsyqdta6-6aDDiwpUnQT6c/edit?usp=sharing"",""นครสวรรค์!J344"")+IMPORTRANGE(""https://docs.google.com/spreadsheets/d/10s13Sk5xrltsiR-Zkbmk5DwIaDIKO8Xl"&amp;"bJAfqyT7Gvg/edit?usp=sharing"",""น่าน!J344"")+IMPORTRANGE(""https://docs.google.com/spreadsheets/d/1uu4nAn4Dbi1XREnLKKotUANlKXa7yCgRcgq8HEzQYW8/edit?usp=sharing"",""พะเยา!J344"")+IMPORTRANGE(""https://docs.google.com/spreadsheets/d/1xfJKIQxVOaPDIICqsflNlL"&amp;"u3JacTDk1FP9RH4phX7mI/edit?usp=sharing"",""พิจิตร!J344"")+IMPORTRANGE(""https://docs.google.com/spreadsheets/d/1JtRfZkJMHtEhI5RdRHxYUG4FIZHqKDpNyIuN7A1Q0_k/edit?usp=sharing"",""พิษณุโลก!J344"")+IMPORTRANGE(""https://docs.google.com/spreadsheets/d/1xlcVZWU"&amp;"Nn6SuWm0c307h32SiGkd9BaeQWlAktfD3KO8/edit?usp=sharing"",""เพชรบูรณ์!J344"")+IMPORTRANGE(""https://docs.google.com/spreadsheets/d/1lOVebEIsI9qjGXl6EX66luk7wiuP2tBaryw-wKvv4e0/edit?usp=sharing"",""แพร่!J344"")+IMPORTRANGE(""https://docs.google.com/spreadshe"&amp;"ets/d/1dQrvX0vEcN7Gu0fnZ0B5S90AeR19zth4XlExFBeExMY/edit?usp=sharing"",""แม่ฮ่องสอน!J344"")+IMPORTRANGE(""https://docs.google.com/spreadsheets/d/1DY4XTNNwjluuxqdfdn6qvOSlMRrZqUtmYcZR0ttFiG4/edit?usp=sharing"",""ลำปาง!J344"")+IMPORTRANGE(""https://docs.goog"&amp;"le.com/spreadsheets/d/1ICwG78r0OFT8biBlxnBF8r7she7gNSzOvJ958PWT09c/edit?usp=sharing"",""ลำพูน!J344"")+IMPORTRANGE(""https://docs.google.com/spreadsheets/d/1B0f2xJpZUC6Z0xXnqKlZtEPzsf6L84eP1r1Q15seqRM/edit?usp=sharing"",""สุโขทัย!J344"")+IMPORTRANGE(""http"&amp;"s://docs.google.com/spreadsheets/d/1v0b9pFQCsKUVExMei7AgY2yQkdeNQvtOssygGsXbiKo/edit?usp=sharing"",""อุตรดิตถ์!J344"")+IMPORTRANGE(""https://docs.google.com/spreadsheets/d/1UsNK1e-WWiCo2PvGqdNfdme4m17_Ezd3J69EeeiQPD0/edit?usp=sharing"",""อุทัยธานี!J344"")"),16836)</f>
        <v>16836</v>
      </c>
      <c r="K344" s="425">
        <f ca="1">IF(I238&gt;0,J238*100/I238,0)</f>
        <v>4.7619047619047619</v>
      </c>
      <c r="L344" s="58"/>
      <c r="M344" s="58"/>
      <c r="N344" s="58"/>
      <c r="O344" s="58"/>
      <c r="P344" s="5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58"/>
      <c r="M345" s="58"/>
      <c r="N345" s="58"/>
      <c r="O345" s="58"/>
      <c r="P345" s="5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jTcq05yEiRwXcBMLjiodW9e4biSGYWAHcDj22rKWQ3s/edit?usp=sharing"",""กำแพงเพชร!I346"")+IMPORTRANGE(""https://docs.google.com/spreadsheets/d/1KS0zmDSZPk8KnTAbGN-Xk6MtX1YRZD0ldgdt20K4CRk/edit?usp=sharing"","&amp;"""เชียงราย!I346"")+IMPORTRANGE(""https://docs.google.com/spreadsheets/d/1rEDxBtusbi64tE0zunoIbsTVV16HeL0oJ6trHQeQ7K8/edit?usp=sharing"",""เชียงใหม่!I346"")+IMPORTRANGE(""https://docs.google.com/spreadsheets/d/1W6MnUbDkMi6xHnHko_XkFDO9kkuL6Wqyc-6OCDFjW9I/e"&amp;"dit?usp=sharing"",""ตาก!I346"")+IMPORTRANGE(""https://docs.google.com/spreadsheets/d/1IQAWArduLkta9LpYo4a_ULsyqdta6-6aDDiwpUnQT6c/edit?usp=sharing"",""นครสวรรค์!I346"")+IMPORTRANGE(""https://docs.google.com/spreadsheets/d/10s13Sk5xrltsiR-Zkbmk5DwIaDIKO8Xl"&amp;"bJAfqyT7Gvg/edit?usp=sharing"",""น่าน!I346"")+IMPORTRANGE(""https://docs.google.com/spreadsheets/d/1uu4nAn4Dbi1XREnLKKotUANlKXa7yCgRcgq8HEzQYW8/edit?usp=sharing"",""พะเยา!I346"")+IMPORTRANGE(""https://docs.google.com/spreadsheets/d/1xfJKIQxVOaPDIICqsflNlL"&amp;"u3JacTDk1FP9RH4phX7mI/edit?usp=sharing"",""พิจิตร!I346"")+IMPORTRANGE(""https://docs.google.com/spreadsheets/d/1JtRfZkJMHtEhI5RdRHxYUG4FIZHqKDpNyIuN7A1Q0_k/edit?usp=sharing"",""พิษณุโลก!I346"")+IMPORTRANGE(""https://docs.google.com/spreadsheets/d/1xlcVZWU"&amp;"Nn6SuWm0c307h32SiGkd9BaeQWlAktfD3KO8/edit?usp=sharing"",""เพชรบูรณ์!I346"")+IMPORTRANGE(""https://docs.google.com/spreadsheets/d/1lOVebEIsI9qjGXl6EX66luk7wiuP2tBaryw-wKvv4e0/edit?usp=sharing"",""แพร่!I346"")+IMPORTRANGE(""https://docs.google.com/spreadshe"&amp;"ets/d/1dQrvX0vEcN7Gu0fnZ0B5S90AeR19zth4XlExFBeExMY/edit?usp=sharing"",""แม่ฮ่องสอน!I346"")+IMPORTRANGE(""https://docs.google.com/spreadsheets/d/1DY4XTNNwjluuxqdfdn6qvOSlMRrZqUtmYcZR0ttFiG4/edit?usp=sharing"",""ลำปาง!I346"")+IMPORTRANGE(""https://docs.goog"&amp;"le.com/spreadsheets/d/1ICwG78r0OFT8biBlxnBF8r7she7gNSzOvJ958PWT09c/edit?usp=sharing"",""ลำพูน!I346"")+IMPORTRANGE(""https://docs.google.com/spreadsheets/d/1B0f2xJpZUC6Z0xXnqKlZtEPzsf6L84eP1r1Q15seqRM/edit?usp=sharing"",""สุโขทัย!I346"")+IMPORTRANGE(""http"&amp;"s://docs.google.com/spreadsheets/d/1v0b9pFQCsKUVExMei7AgY2yQkdeNQvtOssygGsXbiKo/edit?usp=sharing"",""อุตรดิตถ์!I346"")+IMPORTRANGE(""https://docs.google.com/spreadsheets/d/1UsNK1e-WWiCo2PvGqdNfdme4m17_Ezd3J69EeeiQPD0/edit?usp=sharing"",""อุทัยธานี!I346"")"),73)</f>
        <v>73</v>
      </c>
      <c r="J346" s="424">
        <f ca="1">IFERROR(__xludf.DUMMYFUNCTION("IMPORTRANGE(""https://docs.google.com/spreadsheets/d/1jTcq05yEiRwXcBMLjiodW9e4biSGYWAHcDj22rKWQ3s/edit?usp=sharing"",""กำแพงเพชร!J346"")+IMPORTRANGE(""https://docs.google.com/spreadsheets/d/1KS0zmDSZPk8KnTAbGN-Xk6MtX1YRZD0ldgdt20K4CRk/edit?usp=sharing"","&amp;"""เชียงราย!J346"")+IMPORTRANGE(""https://docs.google.com/spreadsheets/d/1rEDxBtusbi64tE0zunoIbsTVV16HeL0oJ6trHQeQ7K8/edit?usp=sharing"",""เชียงใหม่!J346"")+IMPORTRANGE(""https://docs.google.com/spreadsheets/d/1W6MnUbDkMi6xHnHko_XkFDO9kkuL6Wqyc-6OCDFjW9I/e"&amp;"dit?usp=sharing"",""ตาก!J346"")+IMPORTRANGE(""https://docs.google.com/spreadsheets/d/1IQAWArduLkta9LpYo4a_ULsyqdta6-6aDDiwpUnQT6c/edit?usp=sharing"",""นครสวรรค์!J346"")+IMPORTRANGE(""https://docs.google.com/spreadsheets/d/10s13Sk5xrltsiR-Zkbmk5DwIaDIKO8Xl"&amp;"bJAfqyT7Gvg/edit?usp=sharing"",""น่าน!J346"")+IMPORTRANGE(""https://docs.google.com/spreadsheets/d/1uu4nAn4Dbi1XREnLKKotUANlKXa7yCgRcgq8HEzQYW8/edit?usp=sharing"",""พะเยา!J346"")+IMPORTRANGE(""https://docs.google.com/spreadsheets/d/1xfJKIQxVOaPDIICqsflNlL"&amp;"u3JacTDk1FP9RH4phX7mI/edit?usp=sharing"",""พิจิตร!J346"")+IMPORTRANGE(""https://docs.google.com/spreadsheets/d/1JtRfZkJMHtEhI5RdRHxYUG4FIZHqKDpNyIuN7A1Q0_k/edit?usp=sharing"",""พิษณุโลก!J346"")+IMPORTRANGE(""https://docs.google.com/spreadsheets/d/1xlcVZWU"&amp;"Nn6SuWm0c307h32SiGkd9BaeQWlAktfD3KO8/edit?usp=sharing"",""เพชรบูรณ์!J346"")+IMPORTRANGE(""https://docs.google.com/spreadsheets/d/1lOVebEIsI9qjGXl6EX66luk7wiuP2tBaryw-wKvv4e0/edit?usp=sharing"",""แพร่!J346"")+IMPORTRANGE(""https://docs.google.com/spreadshe"&amp;"ets/d/1dQrvX0vEcN7Gu0fnZ0B5S90AeR19zth4XlExFBeExMY/edit?usp=sharing"",""แม่ฮ่องสอน!J346"")+IMPORTRANGE(""https://docs.google.com/spreadsheets/d/1DY4XTNNwjluuxqdfdn6qvOSlMRrZqUtmYcZR0ttFiG4/edit?usp=sharing"",""ลำปาง!J346"")+IMPORTRANGE(""https://docs.goog"&amp;"le.com/spreadsheets/d/1ICwG78r0OFT8biBlxnBF8r7she7gNSzOvJ958PWT09c/edit?usp=sharing"",""ลำพูน!J346"")+IMPORTRANGE(""https://docs.google.com/spreadsheets/d/1B0f2xJpZUC6Z0xXnqKlZtEPzsf6L84eP1r1Q15seqRM/edit?usp=sharing"",""สุโขทัย!J346"")+IMPORTRANGE(""http"&amp;"s://docs.google.com/spreadsheets/d/1v0b9pFQCsKUVExMei7AgY2yQkdeNQvtOssygGsXbiKo/edit?usp=sharing"",""อุตรดิตถ์!J346"")+IMPORTRANGE(""https://docs.google.com/spreadsheets/d/1UsNK1e-WWiCo2PvGqdNfdme4m17_Ezd3J69EeeiQPD0/edit?usp=sharing"",""อุทัยธานี!J346"")"),25)</f>
        <v>25</v>
      </c>
      <c r="K346" s="425">
        <f ca="1">IF(I346&gt;0,J346*100/I346,0)</f>
        <v>34.246575342465754</v>
      </c>
      <c r="L346" s="58"/>
      <c r="M346" s="58"/>
      <c r="N346" s="58"/>
      <c r="O346" s="58"/>
      <c r="P346" s="5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jTcq05yEiRwXcBMLjiodW9e4biSGYWAHcDj22rKWQ3s/edit?usp=sharing"",""กำแพงเพชร!J347"")+IMPORTRANGE(""https://docs.google.com/spreadsheets/d/1KS0zmDSZPk8KnTAbGN-Xk6MtX1YRZD0ldgdt20K4CRk/edit?usp=sharing"","&amp;"""เชียงราย!J347"")+IMPORTRANGE(""https://docs.google.com/spreadsheets/d/1rEDxBtusbi64tE0zunoIbsTVV16HeL0oJ6trHQeQ7K8/edit?usp=sharing"",""เชียงใหม่!J347"")+IMPORTRANGE(""https://docs.google.com/spreadsheets/d/1W6MnUbDkMi6xHnHko_XkFDO9kkuL6Wqyc-6OCDFjW9I/e"&amp;"dit?usp=sharing"",""ตาก!J347"")+IMPORTRANGE(""https://docs.google.com/spreadsheets/d/1IQAWArduLkta9LpYo4a_ULsyqdta6-6aDDiwpUnQT6c/edit?usp=sharing"",""นครสวรรค์!J347"")+IMPORTRANGE(""https://docs.google.com/spreadsheets/d/10s13Sk5xrltsiR-Zkbmk5DwIaDIKO8Xl"&amp;"bJAfqyT7Gvg/edit?usp=sharing"",""น่าน!J347"")+IMPORTRANGE(""https://docs.google.com/spreadsheets/d/1uu4nAn4Dbi1XREnLKKotUANlKXa7yCgRcgq8HEzQYW8/edit?usp=sharing"",""พะเยา!J347"")+IMPORTRANGE(""https://docs.google.com/spreadsheets/d/1xfJKIQxVOaPDIICqsflNlL"&amp;"u3JacTDk1FP9RH4phX7mI/edit?usp=sharing"",""พิจิตร!J347"")+IMPORTRANGE(""https://docs.google.com/spreadsheets/d/1JtRfZkJMHtEhI5RdRHxYUG4FIZHqKDpNyIuN7A1Q0_k/edit?usp=sharing"",""พิษณุโลก!J347"")+IMPORTRANGE(""https://docs.google.com/spreadsheets/d/1xlcVZWU"&amp;"Nn6SuWm0c307h32SiGkd9BaeQWlAktfD3KO8/edit?usp=sharing"",""เพชรบูรณ์!J347"")+IMPORTRANGE(""https://docs.google.com/spreadsheets/d/1lOVebEIsI9qjGXl6EX66luk7wiuP2tBaryw-wKvv4e0/edit?usp=sharing"",""แพร่!J347"")+IMPORTRANGE(""https://docs.google.com/spreadshe"&amp;"ets/d/1dQrvX0vEcN7Gu0fnZ0B5S90AeR19zth4XlExFBeExMY/edit?usp=sharing"",""แม่ฮ่องสอน!J347"")+IMPORTRANGE(""https://docs.google.com/spreadsheets/d/1DY4XTNNwjluuxqdfdn6qvOSlMRrZqUtmYcZR0ttFiG4/edit?usp=sharing"",""ลำปาง!J347"")+IMPORTRANGE(""https://docs.goog"&amp;"le.com/spreadsheets/d/1ICwG78r0OFT8biBlxnBF8r7she7gNSzOvJ958PWT09c/edit?usp=sharing"",""ลำพูน!J347"")+IMPORTRANGE(""https://docs.google.com/spreadsheets/d/1B0f2xJpZUC6Z0xXnqKlZtEPzsf6L84eP1r1Q15seqRM/edit?usp=sharing"",""สุโขทัย!J347"")+IMPORTRANGE(""http"&amp;"s://docs.google.com/spreadsheets/d/1v0b9pFQCsKUVExMei7AgY2yQkdeNQvtOssygGsXbiKo/edit?usp=sharing"",""อุตรดิตถ์!J347"")+IMPORTRANGE(""https://docs.google.com/spreadsheets/d/1UsNK1e-WWiCo2PvGqdNfdme4m17_Ezd3J69EeeiQPD0/edit?usp=sharing"",""อุทัยธานี!J347"")"),704)</f>
        <v>704</v>
      </c>
      <c r="K347" s="428"/>
      <c r="L347" s="58"/>
      <c r="M347" s="58"/>
      <c r="N347" s="58"/>
      <c r="O347" s="58"/>
      <c r="P347" s="5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jTcq05yEiRwXcBMLjiodW9e4biSGYWAHcDj22rKWQ3s/edit?usp=sharing"",""กำแพงเพชร!J348"")+IMPORTRANGE(""https://docs.google.com/spreadsheets/d/1KS0zmDSZPk8KnTAbGN-Xk6MtX1YRZD0ldgdt20K4CRk/edit?usp=sharing"","&amp;"""เชียงราย!J348"")+IMPORTRANGE(""https://docs.google.com/spreadsheets/d/1rEDxBtusbi64tE0zunoIbsTVV16HeL0oJ6trHQeQ7K8/edit?usp=sharing"",""เชียงใหม่!J348"")+IMPORTRANGE(""https://docs.google.com/spreadsheets/d/1W6MnUbDkMi6xHnHko_XkFDO9kkuL6Wqyc-6OCDFjW9I/e"&amp;"dit?usp=sharing"",""ตาก!J348"")+IMPORTRANGE(""https://docs.google.com/spreadsheets/d/1IQAWArduLkta9LpYo4a_ULsyqdta6-6aDDiwpUnQT6c/edit?usp=sharing"",""นครสวรรค์!J348"")+IMPORTRANGE(""https://docs.google.com/spreadsheets/d/10s13Sk5xrltsiR-Zkbmk5DwIaDIKO8Xl"&amp;"bJAfqyT7Gvg/edit?usp=sharing"",""น่าน!J348"")+IMPORTRANGE(""https://docs.google.com/spreadsheets/d/1uu4nAn4Dbi1XREnLKKotUANlKXa7yCgRcgq8HEzQYW8/edit?usp=sharing"",""พะเยา!J348"")+IMPORTRANGE(""https://docs.google.com/spreadsheets/d/1xfJKIQxVOaPDIICqsflNlL"&amp;"u3JacTDk1FP9RH4phX7mI/edit?usp=sharing"",""พิจิตร!J348"")+IMPORTRANGE(""https://docs.google.com/spreadsheets/d/1JtRfZkJMHtEhI5RdRHxYUG4FIZHqKDpNyIuN7A1Q0_k/edit?usp=sharing"",""พิษณุโลก!J348"")+IMPORTRANGE(""https://docs.google.com/spreadsheets/d/1xlcVZWU"&amp;"Nn6SuWm0c307h32SiGkd9BaeQWlAktfD3KO8/edit?usp=sharing"",""เพชรบูรณ์!J348"")+IMPORTRANGE(""https://docs.google.com/spreadsheets/d/1lOVebEIsI9qjGXl6EX66luk7wiuP2tBaryw-wKvv4e0/edit?usp=sharing"",""แพร่!J348"")+IMPORTRANGE(""https://docs.google.com/spreadshe"&amp;"ets/d/1dQrvX0vEcN7Gu0fnZ0B5S90AeR19zth4XlExFBeExMY/edit?usp=sharing"",""แม่ฮ่องสอน!J348"")+IMPORTRANGE(""https://docs.google.com/spreadsheets/d/1DY4XTNNwjluuxqdfdn6qvOSlMRrZqUtmYcZR0ttFiG4/edit?usp=sharing"",""ลำปาง!J348"")+IMPORTRANGE(""https://docs.goog"&amp;"le.com/spreadsheets/d/1ICwG78r0OFT8biBlxnBF8r7she7gNSzOvJ958PWT09c/edit?usp=sharing"",""ลำพูน!J348"")+IMPORTRANGE(""https://docs.google.com/spreadsheets/d/1B0f2xJpZUC6Z0xXnqKlZtEPzsf6L84eP1r1Q15seqRM/edit?usp=sharing"",""สุโขทัย!J348"")+IMPORTRANGE(""http"&amp;"s://docs.google.com/spreadsheets/d/1v0b9pFQCsKUVExMei7AgY2yQkdeNQvtOssygGsXbiKo/edit?usp=sharing"",""อุตรดิตถ์!J348"")+IMPORTRANGE(""https://docs.google.com/spreadsheets/d/1UsNK1e-WWiCo2PvGqdNfdme4m17_Ezd3J69EeeiQPD0/edit?usp=sharing"",""อุทัยธานี!J348"")"),241)</f>
        <v>241</v>
      </c>
      <c r="K348" s="428"/>
      <c r="L348" s="58"/>
      <c r="M348" s="58"/>
      <c r="N348" s="58"/>
      <c r="O348" s="58"/>
      <c r="P348" s="5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jTcq05yEiRwXcBMLjiodW9e4biSGYWAHcDj22rKWQ3s/edit?usp=sharing"",""กำแพงเพชร!J349"")+IMPORTRANGE(""https://docs.google.com/spreadsheets/d/1KS0zmDSZPk8KnTAbGN-Xk6MtX1YRZD0ldgdt20K4CRk/edit?usp=sharing"","&amp;"""เชียงราย!J349"")+IMPORTRANGE(""https://docs.google.com/spreadsheets/d/1rEDxBtusbi64tE0zunoIbsTVV16HeL0oJ6trHQeQ7K8/edit?usp=sharing"",""เชียงใหม่!J349"")+IMPORTRANGE(""https://docs.google.com/spreadsheets/d/1W6MnUbDkMi6xHnHko_XkFDO9kkuL6Wqyc-6OCDFjW9I/e"&amp;"dit?usp=sharing"",""ตาก!J349"")+IMPORTRANGE(""https://docs.google.com/spreadsheets/d/1IQAWArduLkta9LpYo4a_ULsyqdta6-6aDDiwpUnQT6c/edit?usp=sharing"",""นครสวรรค์!J349"")+IMPORTRANGE(""https://docs.google.com/spreadsheets/d/10s13Sk5xrltsiR-Zkbmk5DwIaDIKO8Xl"&amp;"bJAfqyT7Gvg/edit?usp=sharing"",""น่าน!J349"")+IMPORTRANGE(""https://docs.google.com/spreadsheets/d/1uu4nAn4Dbi1XREnLKKotUANlKXa7yCgRcgq8HEzQYW8/edit?usp=sharing"",""พะเยา!J349"")+IMPORTRANGE(""https://docs.google.com/spreadsheets/d/1xfJKIQxVOaPDIICqsflNlL"&amp;"u3JacTDk1FP9RH4phX7mI/edit?usp=sharing"",""พิจิตร!J349"")+IMPORTRANGE(""https://docs.google.com/spreadsheets/d/1JtRfZkJMHtEhI5RdRHxYUG4FIZHqKDpNyIuN7A1Q0_k/edit?usp=sharing"",""พิษณุโลก!J349"")+IMPORTRANGE(""https://docs.google.com/spreadsheets/d/1xlcVZWU"&amp;"Nn6SuWm0c307h32SiGkd9BaeQWlAktfD3KO8/edit?usp=sharing"",""เพชรบูรณ์!J349"")+IMPORTRANGE(""https://docs.google.com/spreadsheets/d/1lOVebEIsI9qjGXl6EX66luk7wiuP2tBaryw-wKvv4e0/edit?usp=sharing"",""แพร่!J349"")+IMPORTRANGE(""https://docs.google.com/spreadshe"&amp;"ets/d/1dQrvX0vEcN7Gu0fnZ0B5S90AeR19zth4XlExFBeExMY/edit?usp=sharing"",""แม่ฮ่องสอน!J349"")+IMPORTRANGE(""https://docs.google.com/spreadsheets/d/1DY4XTNNwjluuxqdfdn6qvOSlMRrZqUtmYcZR0ttFiG4/edit?usp=sharing"",""ลำปาง!J349"")+IMPORTRANGE(""https://docs.goog"&amp;"le.com/spreadsheets/d/1ICwG78r0OFT8biBlxnBF8r7she7gNSzOvJ958PWT09c/edit?usp=sharing"",""ลำพูน!J349"")+IMPORTRANGE(""https://docs.google.com/spreadsheets/d/1B0f2xJpZUC6Z0xXnqKlZtEPzsf6L84eP1r1Q15seqRM/edit?usp=sharing"",""สุโขทัย!J349"")+IMPORTRANGE(""http"&amp;"s://docs.google.com/spreadsheets/d/1v0b9pFQCsKUVExMei7AgY2yQkdeNQvtOssygGsXbiKo/edit?usp=sharing"",""อุตรดิตถ์!J349"")+IMPORTRANGE(""https://docs.google.com/spreadsheets/d/1UsNK1e-WWiCo2PvGqdNfdme4m17_Ezd3J69EeeiQPD0/edit?usp=sharing"",""อุทัยธานี!J349"")"),3)</f>
        <v>3</v>
      </c>
      <c r="K349" s="428"/>
      <c r="L349" s="58"/>
      <c r="M349" s="58"/>
      <c r="N349" s="58"/>
      <c r="O349" s="58"/>
      <c r="P349" s="5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58"/>
      <c r="M350" s="58"/>
      <c r="N350" s="58"/>
      <c r="O350" s="58"/>
      <c r="P350" s="58"/>
    </row>
    <row r="351" spans="1:16" ht="19.5" x14ac:dyDescent="0.3">
      <c r="A351" s="432"/>
      <c r="B351" s="433"/>
      <c r="C351" s="434"/>
      <c r="D351" s="433"/>
      <c r="E351" s="435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35032</v>
      </c>
      <c r="K351" s="439">
        <v>0</v>
      </c>
      <c r="L351" s="287"/>
      <c r="M351" s="287"/>
      <c r="N351" s="287"/>
      <c r="O351" s="287"/>
      <c r="P351" s="287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jTcq05yEiRwXcBMLjiodW9e4biSGYWAHcDj22rKWQ3s/edit?usp=sharing"",""กำแพงเพชร!J352"")+IMPORTRANGE(""https://docs.google.com/spreadsheets/d/1KS0zmDSZPk8KnTAbGN-Xk6MtX1YRZD0ldgdt20K4CRk/edit?usp=sharing"","&amp;"""เชียงราย!J352"")+IMPORTRANGE(""https://docs.google.com/spreadsheets/d/1rEDxBtusbi64tE0zunoIbsTVV16HeL0oJ6trHQeQ7K8/edit?usp=sharing"",""เชียงใหม่!J352"")+IMPORTRANGE(""https://docs.google.com/spreadsheets/d/1W6MnUbDkMi6xHnHko_XkFDO9kkuL6Wqyc-6OCDFjW9I/e"&amp;"dit?usp=sharing"",""ตาก!J352"")+IMPORTRANGE(""https://docs.google.com/spreadsheets/d/1IQAWArduLkta9LpYo4a_ULsyqdta6-6aDDiwpUnQT6c/edit?usp=sharing"",""นครสวรรค์!J352"")+IMPORTRANGE(""https://docs.google.com/spreadsheets/d/10s13Sk5xrltsiR-Zkbmk5DwIaDIKO8Xl"&amp;"bJAfqyT7Gvg/edit?usp=sharing"",""น่าน!J352"")+IMPORTRANGE(""https://docs.google.com/spreadsheets/d/1uu4nAn4Dbi1XREnLKKotUANlKXa7yCgRcgq8HEzQYW8/edit?usp=sharing"",""พะเยา!J352"")+IMPORTRANGE(""https://docs.google.com/spreadsheets/d/1xfJKIQxVOaPDIICqsflNlL"&amp;"u3JacTDk1FP9RH4phX7mI/edit?usp=sharing"",""พิจิตร!J352"")+IMPORTRANGE(""https://docs.google.com/spreadsheets/d/1JtRfZkJMHtEhI5RdRHxYUG4FIZHqKDpNyIuN7A1Q0_k/edit?usp=sharing"",""พิษณุโลก!J352"")+IMPORTRANGE(""https://docs.google.com/spreadsheets/d/1xlcVZWU"&amp;"Nn6SuWm0c307h32SiGkd9BaeQWlAktfD3KO8/edit?usp=sharing"",""เพชรบูรณ์!J352"")+IMPORTRANGE(""https://docs.google.com/spreadsheets/d/1lOVebEIsI9qjGXl6EX66luk7wiuP2tBaryw-wKvv4e0/edit?usp=sharing"",""แพร่!J352"")+IMPORTRANGE(""https://docs.google.com/spreadshe"&amp;"ets/d/1dQrvX0vEcN7Gu0fnZ0B5S90AeR19zth4XlExFBeExMY/edit?usp=sharing"",""แม่ฮ่องสอน!J352"")+IMPORTRANGE(""https://docs.google.com/spreadsheets/d/1DY4XTNNwjluuxqdfdn6qvOSlMRrZqUtmYcZR0ttFiG4/edit?usp=sharing"",""ลำปาง!J352"")+IMPORTRANGE(""https://docs.goog"&amp;"le.com/spreadsheets/d/1ICwG78r0OFT8biBlxnBF8r7she7gNSzOvJ958PWT09c/edit?usp=sharing"",""ลำพูน!J352"")+IMPORTRANGE(""https://docs.google.com/spreadsheets/d/1B0f2xJpZUC6Z0xXnqKlZtEPzsf6L84eP1r1Q15seqRM/edit?usp=sharing"",""สุโขทัย!J352"")+IMPORTRANGE(""http"&amp;"s://docs.google.com/spreadsheets/d/1v0b9pFQCsKUVExMei7AgY2yQkdeNQvtOssygGsXbiKo/edit?usp=sharing"",""อุตรดิตถ์!J352"")+IMPORTRANGE(""https://docs.google.com/spreadsheets/d/1UsNK1e-WWiCo2PvGqdNfdme4m17_Ezd3J69EeeiQPD0/edit?usp=sharing"",""อุทัยธานี!J352"")"),13433)</f>
        <v>13433</v>
      </c>
      <c r="K352" s="428"/>
      <c r="L352" s="58"/>
      <c r="M352" s="58"/>
      <c r="N352" s="58"/>
      <c r="O352" s="58"/>
      <c r="P352" s="5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jTcq05yEiRwXcBMLjiodW9e4biSGYWAHcDj22rKWQ3s/edit?usp=sharing"",""กำแพงเพชร!J353"")+IMPORTRANGE(""https://docs.google.com/spreadsheets/d/1KS0zmDSZPk8KnTAbGN-Xk6MtX1YRZD0ldgdt20K4CRk/edit?usp=sharing"","&amp;"""เชียงราย!J353"")+IMPORTRANGE(""https://docs.google.com/spreadsheets/d/1rEDxBtusbi64tE0zunoIbsTVV16HeL0oJ6trHQeQ7K8/edit?usp=sharing"",""เชียงใหม่!J353"")+IMPORTRANGE(""https://docs.google.com/spreadsheets/d/1W6MnUbDkMi6xHnHko_XkFDO9kkuL6Wqyc-6OCDFjW9I/e"&amp;"dit?usp=sharing"",""ตาก!J353"")+IMPORTRANGE(""https://docs.google.com/spreadsheets/d/1IQAWArduLkta9LpYo4a_ULsyqdta6-6aDDiwpUnQT6c/edit?usp=sharing"",""นครสวรรค์!J353"")+IMPORTRANGE(""https://docs.google.com/spreadsheets/d/10s13Sk5xrltsiR-Zkbmk5DwIaDIKO8Xl"&amp;"bJAfqyT7Gvg/edit?usp=sharing"",""น่าน!J353"")+IMPORTRANGE(""https://docs.google.com/spreadsheets/d/1uu4nAn4Dbi1XREnLKKotUANlKXa7yCgRcgq8HEzQYW8/edit?usp=sharing"",""พะเยา!J353"")+IMPORTRANGE(""https://docs.google.com/spreadsheets/d/1xfJKIQxVOaPDIICqsflNlL"&amp;"u3JacTDk1FP9RH4phX7mI/edit?usp=sharing"",""พิจิตร!J353"")+IMPORTRANGE(""https://docs.google.com/spreadsheets/d/1JtRfZkJMHtEhI5RdRHxYUG4FIZHqKDpNyIuN7A1Q0_k/edit?usp=sharing"",""พิษณุโลก!J353"")+IMPORTRANGE(""https://docs.google.com/spreadsheets/d/1xlcVZWU"&amp;"Nn6SuWm0c307h32SiGkd9BaeQWlAktfD3KO8/edit?usp=sharing"",""เพชรบูรณ์!J353"")+IMPORTRANGE(""https://docs.google.com/spreadsheets/d/1lOVebEIsI9qjGXl6EX66luk7wiuP2tBaryw-wKvv4e0/edit?usp=sharing"",""แพร่!J353"")+IMPORTRANGE(""https://docs.google.com/spreadshe"&amp;"ets/d/1dQrvX0vEcN7Gu0fnZ0B5S90AeR19zth4XlExFBeExMY/edit?usp=sharing"",""แม่ฮ่องสอน!J353"")+IMPORTRANGE(""https://docs.google.com/spreadsheets/d/1DY4XTNNwjluuxqdfdn6qvOSlMRrZqUtmYcZR0ttFiG4/edit?usp=sharing"",""ลำปาง!J353"")+IMPORTRANGE(""https://docs.goog"&amp;"le.com/spreadsheets/d/1ICwG78r0OFT8biBlxnBF8r7she7gNSzOvJ958PWT09c/edit?usp=sharing"",""ลำพูน!J353"")+IMPORTRANGE(""https://docs.google.com/spreadsheets/d/1B0f2xJpZUC6Z0xXnqKlZtEPzsf6L84eP1r1Q15seqRM/edit?usp=sharing"",""สุโขทัย!J353"")+IMPORTRANGE(""http"&amp;"s://docs.google.com/spreadsheets/d/1v0b9pFQCsKUVExMei7AgY2yQkdeNQvtOssygGsXbiKo/edit?usp=sharing"",""อุตรดิตถ์!J353"")+IMPORTRANGE(""https://docs.google.com/spreadsheets/d/1UsNK1e-WWiCo2PvGqdNfdme4m17_Ezd3J69EeeiQPD0/edit?usp=sharing"",""อุทัยธานี!J353"")"),21599)</f>
        <v>21599</v>
      </c>
      <c r="K353" s="428"/>
      <c r="L353" s="58"/>
      <c r="M353" s="58"/>
      <c r="N353" s="58"/>
      <c r="O353" s="58"/>
      <c r="P353" s="5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58"/>
      <c r="M354" s="58"/>
      <c r="N354" s="58"/>
      <c r="O354" s="58"/>
      <c r="P354" s="58"/>
    </row>
    <row r="355" spans="1:16" ht="19.5" x14ac:dyDescent="0.3">
      <c r="A355" s="390"/>
      <c r="B355" s="391" t="s">
        <v>141</v>
      </c>
      <c r="C355" s="400"/>
      <c r="D355" s="392"/>
      <c r="E355" s="392"/>
      <c r="F355" s="392"/>
      <c r="G355" s="393"/>
      <c r="H355" s="393"/>
      <c r="I355" s="441"/>
      <c r="J355" s="441"/>
      <c r="K355" s="397"/>
      <c r="L355" s="397"/>
      <c r="M355" s="397"/>
      <c r="N355" s="397"/>
      <c r="O355" s="397"/>
      <c r="P355" s="397"/>
    </row>
    <row r="356" spans="1:16" ht="19.5" x14ac:dyDescent="0.3">
      <c r="A356" s="157"/>
      <c r="B356" s="53"/>
      <c r="C356" s="158" t="s">
        <v>16</v>
      </c>
      <c r="D356" s="159" t="s">
        <v>17</v>
      </c>
      <c r="E356" s="53"/>
      <c r="F356" s="53"/>
      <c r="G356" s="55"/>
      <c r="H356" s="160" t="s">
        <v>12</v>
      </c>
      <c r="I356" s="57"/>
      <c r="J356" s="57"/>
      <c r="K356" s="58"/>
      <c r="L356" s="161">
        <f t="shared" ref="L356:N356" ca="1" si="153">L357+L358</f>
        <v>9127945</v>
      </c>
      <c r="M356" s="161">
        <f t="shared" ca="1" si="153"/>
        <v>7729705</v>
      </c>
      <c r="N356" s="161">
        <f t="shared" ca="1" si="153"/>
        <v>1771778.44</v>
      </c>
      <c r="O356" s="161">
        <f t="shared" ref="O356:O364" ca="1" si="154">IF(L356&gt;0,N356*100/L356,0)</f>
        <v>19.410485492627313</v>
      </c>
      <c r="P356" s="161">
        <f t="shared" ref="P356:P364" ca="1" si="155">IF(M356&gt;0,N356*100/M356,0)</f>
        <v>22.921682522166112</v>
      </c>
    </row>
    <row r="357" spans="1:16" ht="18.75" x14ac:dyDescent="0.25">
      <c r="A357" s="157"/>
      <c r="B357" s="53"/>
      <c r="C357" s="53"/>
      <c r="D357" s="53"/>
      <c r="E357" s="60" t="s">
        <v>18</v>
      </c>
      <c r="F357" s="53"/>
      <c r="G357" s="55"/>
      <c r="H357" s="162" t="s">
        <v>12</v>
      </c>
      <c r="I357" s="57"/>
      <c r="J357" s="57"/>
      <c r="K357" s="58"/>
      <c r="L357" s="59">
        <f t="shared" ref="L357:N357" ca="1" si="156">L360+L363</f>
        <v>0</v>
      </c>
      <c r="M357" s="59">
        <f t="shared" ca="1" si="156"/>
        <v>0</v>
      </c>
      <c r="N357" s="59">
        <f t="shared" ca="1" si="156"/>
        <v>0</v>
      </c>
      <c r="O357" s="59">
        <f t="shared" ca="1" si="154"/>
        <v>0</v>
      </c>
      <c r="P357" s="59">
        <f t="shared" ca="1" si="155"/>
        <v>0</v>
      </c>
    </row>
    <row r="358" spans="1:16" ht="18.75" x14ac:dyDescent="0.25">
      <c r="A358" s="157"/>
      <c r="B358" s="53"/>
      <c r="C358" s="53"/>
      <c r="D358" s="53"/>
      <c r="E358" s="60" t="s">
        <v>19</v>
      </c>
      <c r="F358" s="53"/>
      <c r="G358" s="55"/>
      <c r="H358" s="162" t="s">
        <v>12</v>
      </c>
      <c r="I358" s="57"/>
      <c r="J358" s="57"/>
      <c r="K358" s="58"/>
      <c r="L358" s="59">
        <f t="shared" ref="L358:N358" ca="1" si="157">L361+L364</f>
        <v>9127945</v>
      </c>
      <c r="M358" s="59">
        <f t="shared" ca="1" si="157"/>
        <v>7729705</v>
      </c>
      <c r="N358" s="59">
        <f t="shared" ca="1" si="157"/>
        <v>1771778.44</v>
      </c>
      <c r="O358" s="59">
        <f t="shared" ca="1" si="154"/>
        <v>19.410485492627313</v>
      </c>
      <c r="P358" s="59">
        <f t="shared" ca="1" si="155"/>
        <v>22.921682522166112</v>
      </c>
    </row>
    <row r="359" spans="1:16" ht="18.75" x14ac:dyDescent="0.25">
      <c r="A359" s="157"/>
      <c r="B359" s="53"/>
      <c r="C359" s="53"/>
      <c r="D359" s="54" t="s">
        <v>20</v>
      </c>
      <c r="E359" s="53"/>
      <c r="F359" s="53"/>
      <c r="G359" s="55"/>
      <c r="H359" s="163" t="s">
        <v>12</v>
      </c>
      <c r="I359" s="164"/>
      <c r="J359" s="164"/>
      <c r="K359" s="165"/>
      <c r="L359" s="59">
        <f t="shared" ref="L359:N359" ca="1" si="158">L360+L361</f>
        <v>9127945</v>
      </c>
      <c r="M359" s="59">
        <f t="shared" ca="1" si="158"/>
        <v>7729705</v>
      </c>
      <c r="N359" s="59">
        <f t="shared" ca="1" si="158"/>
        <v>1771778.44</v>
      </c>
      <c r="O359" s="59">
        <f t="shared" ca="1" si="154"/>
        <v>19.410485492627313</v>
      </c>
      <c r="P359" s="59">
        <f t="shared" ca="1" si="155"/>
        <v>22.921682522166112</v>
      </c>
    </row>
    <row r="360" spans="1:16" ht="18.75" x14ac:dyDescent="0.25">
      <c r="A360" s="157"/>
      <c r="B360" s="53"/>
      <c r="C360" s="53"/>
      <c r="D360" s="53"/>
      <c r="E360" s="60" t="s">
        <v>34</v>
      </c>
      <c r="F360" s="53"/>
      <c r="G360" s="55"/>
      <c r="H360" s="163" t="s">
        <v>12</v>
      </c>
      <c r="I360" s="164"/>
      <c r="J360" s="164"/>
      <c r="K360" s="165"/>
      <c r="L360" s="59">
        <f ca="1">IFERROR(__xludf.DUMMYFUNCTION("IMPORTRANGE(""https://docs.google.com/spreadsheets/d/1jTcq05yEiRwXcBMLjiodW9e4biSGYWAHcDj22rKWQ3s/edit?usp=sharing"",""กำแพงเพชร!L360"")+IMPORTRANGE(""https://docs.google.com/spreadsheets/d/1KS0zmDSZPk8KnTAbGN-Xk6MtX1YRZD0ldgdt20K4CRk/edit?usp=sharing"","&amp;"""เชียงราย!L360"")+IMPORTRANGE(""https://docs.google.com/spreadsheets/d/1rEDxBtusbi64tE0zunoIbsTVV16HeL0oJ6trHQeQ7K8/edit?usp=sharing"",""เชียงใหม่!L360"")+IMPORTRANGE(""https://docs.google.com/spreadsheets/d/1W6MnUbDkMi6xHnHko_XkFDO9kkuL6Wqyc-6OCDFjW9I/e"&amp;"dit?usp=sharing"",""ตาก!L360"")+IMPORTRANGE(""https://docs.google.com/spreadsheets/d/1IQAWArduLkta9LpYo4a_ULsyqdta6-6aDDiwpUnQT6c/edit?usp=sharing"",""นครสวรรค์!L360"")+IMPORTRANGE(""https://docs.google.com/spreadsheets/d/10s13Sk5xrltsiR-Zkbmk5DwIaDIKO8Xl"&amp;"bJAfqyT7Gvg/edit?usp=sharing"",""น่าน!L360"")+IMPORTRANGE(""https://docs.google.com/spreadsheets/d/1uu4nAn4Dbi1XREnLKKotUANlKXa7yCgRcgq8HEzQYW8/edit?usp=sharing"",""พะเยา!L360"")+IMPORTRANGE(""https://docs.google.com/spreadsheets/d/1xfJKIQxVOaPDIICqsflNlL"&amp;"u3JacTDk1FP9RH4phX7mI/edit?usp=sharing"",""พิจิตร!L360"")+IMPORTRANGE(""https://docs.google.com/spreadsheets/d/1JtRfZkJMHtEhI5RdRHxYUG4FIZHqKDpNyIuN7A1Q0_k/edit?usp=sharing"",""พิษณุโลก!L360"")+IMPORTRANGE(""https://docs.google.com/spreadsheets/d/1xlcVZWU"&amp;"Nn6SuWm0c307h32SiGkd9BaeQWlAktfD3KO8/edit?usp=sharing"",""เพชรบูรณ์!L360"")+IMPORTRANGE(""https://docs.google.com/spreadsheets/d/1lOVebEIsI9qjGXl6EX66luk7wiuP2tBaryw-wKvv4e0/edit?usp=sharing"",""แพร่!L360"")+IMPORTRANGE(""https://docs.google.com/spreadshe"&amp;"ets/d/1dQrvX0vEcN7Gu0fnZ0B5S90AeR19zth4XlExFBeExMY/edit?usp=sharing"",""แม่ฮ่องสอน!L360"")+IMPORTRANGE(""https://docs.google.com/spreadsheets/d/1DY4XTNNwjluuxqdfdn6qvOSlMRrZqUtmYcZR0ttFiG4/edit?usp=sharing"",""ลำปาง!L360"")+IMPORTRANGE(""https://docs.goog"&amp;"le.com/spreadsheets/d/1ICwG78r0OFT8biBlxnBF8r7she7gNSzOvJ958PWT09c/edit?usp=sharing"",""ลำพูน!L360"")+IMPORTRANGE(""https://docs.google.com/spreadsheets/d/1B0f2xJpZUC6Z0xXnqKlZtEPzsf6L84eP1r1Q15seqRM/edit?usp=sharing"",""สุโขทัย!L360"")+IMPORTRANGE(""http"&amp;"s://docs.google.com/spreadsheets/d/1v0b9pFQCsKUVExMei7AgY2yQkdeNQvtOssygGsXbiKo/edit?usp=sharing"",""อุตรดิตถ์!L360"")+IMPORTRANGE(""https://docs.google.com/spreadsheets/d/1UsNK1e-WWiCo2PvGqdNfdme4m17_Ezd3J69EeeiQPD0/edit?usp=sharing"",""อุทัยธานี!L360"")"),0)</f>
        <v>0</v>
      </c>
      <c r="M360" s="59">
        <f ca="1">IFERROR(__xludf.DUMMYFUNCTION("IMPORTRANGE(""https://docs.google.com/spreadsheets/d/1jTcq05yEiRwXcBMLjiodW9e4biSGYWAHcDj22rKWQ3s/edit?usp=sharing"",""กำแพงเพชร!M360"")+IMPORTRANGE(""https://docs.google.com/spreadsheets/d/1KS0zmDSZPk8KnTAbGN-Xk6MtX1YRZD0ldgdt20K4CRk/edit?usp=sharing"","&amp;"""เชียงราย!M360"")+IMPORTRANGE(""https://docs.google.com/spreadsheets/d/1rEDxBtusbi64tE0zunoIbsTVV16HeL0oJ6trHQeQ7K8/edit?usp=sharing"",""เชียงใหม่!M360"")+IMPORTRANGE(""https://docs.google.com/spreadsheets/d/1W6MnUbDkMi6xHnHko_XkFDO9kkuL6Wqyc-6OCDFjW9I/e"&amp;"dit?usp=sharing"",""ตาก!M360"")+IMPORTRANGE(""https://docs.google.com/spreadsheets/d/1IQAWArduLkta9LpYo4a_ULsyqdta6-6aDDiwpUnQT6c/edit?usp=sharing"",""นครสวรรค์!M360"")+IMPORTRANGE(""https://docs.google.com/spreadsheets/d/10s13Sk5xrltsiR-Zkbmk5DwIaDIKO8Xl"&amp;"bJAfqyT7Gvg/edit?usp=sharing"",""น่าน!M360"")+IMPORTRANGE(""https://docs.google.com/spreadsheets/d/1uu4nAn4Dbi1XREnLKKotUANlKXa7yCgRcgq8HEzQYW8/edit?usp=sharing"",""พะเยา!M360"")+IMPORTRANGE(""https://docs.google.com/spreadsheets/d/1xfJKIQxVOaPDIICqsflNlL"&amp;"u3JacTDk1FP9RH4phX7mI/edit?usp=sharing"",""พิจิตร!M360"")+IMPORTRANGE(""https://docs.google.com/spreadsheets/d/1JtRfZkJMHtEhI5RdRHxYUG4FIZHqKDpNyIuN7A1Q0_k/edit?usp=sharing"",""พิษณุโลก!M360"")+IMPORTRANGE(""https://docs.google.com/spreadsheets/d/1xlcVZWU"&amp;"Nn6SuWm0c307h32SiGkd9BaeQWlAktfD3KO8/edit?usp=sharing"",""เพชรบูรณ์!M360"")+IMPORTRANGE(""https://docs.google.com/spreadsheets/d/1lOVebEIsI9qjGXl6EX66luk7wiuP2tBaryw-wKvv4e0/edit?usp=sharing"",""แพร่!M360"")+IMPORTRANGE(""https://docs.google.com/spreadshe"&amp;"ets/d/1dQrvX0vEcN7Gu0fnZ0B5S90AeR19zth4XlExFBeExMY/edit?usp=sharing"",""แม่ฮ่องสอน!M360"")+IMPORTRANGE(""https://docs.google.com/spreadsheets/d/1DY4XTNNwjluuxqdfdn6qvOSlMRrZqUtmYcZR0ttFiG4/edit?usp=sharing"",""ลำปาง!M360"")+IMPORTRANGE(""https://docs.goog"&amp;"le.com/spreadsheets/d/1ICwG78r0OFT8biBlxnBF8r7she7gNSzOvJ958PWT09c/edit?usp=sharing"",""ลำพูน!M360"")+IMPORTRANGE(""https://docs.google.com/spreadsheets/d/1B0f2xJpZUC6Z0xXnqKlZtEPzsf6L84eP1r1Q15seqRM/edit?usp=sharing"",""สุโขทัย!M360"")+IMPORTRANGE(""http"&amp;"s://docs.google.com/spreadsheets/d/1v0b9pFQCsKUVExMei7AgY2yQkdeNQvtOssygGsXbiKo/edit?usp=sharing"",""อุตรดิตถ์!M360"")+IMPORTRANGE(""https://docs.google.com/spreadsheets/d/1UsNK1e-WWiCo2PvGqdNfdme4m17_Ezd3J69EeeiQPD0/edit?usp=sharing"",""อุทัยธานี!M360"")"),0)</f>
        <v>0</v>
      </c>
      <c r="N360" s="59">
        <f ca="1">IFERROR(__xludf.DUMMYFUNCTION("IMPORTRANGE(""https://docs.google.com/spreadsheets/d/1jTcq05yEiRwXcBMLjiodW9e4biSGYWAHcDj22rKWQ3s/edit?usp=sharing"",""กำแพงเพชร!N360"")+IMPORTRANGE(""https://docs.google.com/spreadsheets/d/1KS0zmDSZPk8KnTAbGN-Xk6MtX1YRZD0ldgdt20K4CRk/edit?usp=sharing"","&amp;"""เชียงราย!N360"")+IMPORTRANGE(""https://docs.google.com/spreadsheets/d/1rEDxBtusbi64tE0zunoIbsTVV16HeL0oJ6trHQeQ7K8/edit?usp=sharing"",""เชียงใหม่!N360"")+IMPORTRANGE(""https://docs.google.com/spreadsheets/d/1W6MnUbDkMi6xHnHko_XkFDO9kkuL6Wqyc-6OCDFjW9I/e"&amp;"dit?usp=sharing"",""ตาก!N360"")+IMPORTRANGE(""https://docs.google.com/spreadsheets/d/1IQAWArduLkta9LpYo4a_ULsyqdta6-6aDDiwpUnQT6c/edit?usp=sharing"",""นครสวรรค์!N360"")+IMPORTRANGE(""https://docs.google.com/spreadsheets/d/10s13Sk5xrltsiR-Zkbmk5DwIaDIKO8Xl"&amp;"bJAfqyT7Gvg/edit?usp=sharing"",""น่าน!N360"")+IMPORTRANGE(""https://docs.google.com/spreadsheets/d/1uu4nAn4Dbi1XREnLKKotUANlKXa7yCgRcgq8HEzQYW8/edit?usp=sharing"",""พะเยา!N360"")+IMPORTRANGE(""https://docs.google.com/spreadsheets/d/1xfJKIQxVOaPDIICqsflNlL"&amp;"u3JacTDk1FP9RH4phX7mI/edit?usp=sharing"",""พิจิตร!N360"")+IMPORTRANGE(""https://docs.google.com/spreadsheets/d/1JtRfZkJMHtEhI5RdRHxYUG4FIZHqKDpNyIuN7A1Q0_k/edit?usp=sharing"",""พิษณุโลก!N360"")+IMPORTRANGE(""https://docs.google.com/spreadsheets/d/1xlcVZWU"&amp;"Nn6SuWm0c307h32SiGkd9BaeQWlAktfD3KO8/edit?usp=sharing"",""เพชรบูรณ์!N360"")+IMPORTRANGE(""https://docs.google.com/spreadsheets/d/1lOVebEIsI9qjGXl6EX66luk7wiuP2tBaryw-wKvv4e0/edit?usp=sharing"",""แพร่!N360"")+IMPORTRANGE(""https://docs.google.com/spreadshe"&amp;"ets/d/1dQrvX0vEcN7Gu0fnZ0B5S90AeR19zth4XlExFBeExMY/edit?usp=sharing"",""แม่ฮ่องสอน!N360"")+IMPORTRANGE(""https://docs.google.com/spreadsheets/d/1DY4XTNNwjluuxqdfdn6qvOSlMRrZqUtmYcZR0ttFiG4/edit?usp=sharing"",""ลำปาง!N360"")+IMPORTRANGE(""https://docs.goog"&amp;"le.com/spreadsheets/d/1ICwG78r0OFT8biBlxnBF8r7she7gNSzOvJ958PWT09c/edit?usp=sharing"",""ลำพูน!N360"")+IMPORTRANGE(""https://docs.google.com/spreadsheets/d/1B0f2xJpZUC6Z0xXnqKlZtEPzsf6L84eP1r1Q15seqRM/edit?usp=sharing"",""สุโขทัย!N360"")+IMPORTRANGE(""http"&amp;"s://docs.google.com/spreadsheets/d/1v0b9pFQCsKUVExMei7AgY2yQkdeNQvtOssygGsXbiKo/edit?usp=sharing"",""อุตรดิตถ์!N360"")+IMPORTRANGE(""https://docs.google.com/spreadsheets/d/1UsNK1e-WWiCo2PvGqdNfdme4m17_Ezd3J69EeeiQPD0/edit?usp=sharing"",""อุทัยธานี!N360"")"),0)</f>
        <v>0</v>
      </c>
      <c r="O360" s="59">
        <f t="shared" ca="1" si="154"/>
        <v>0</v>
      </c>
      <c r="P360" s="59">
        <f t="shared" ca="1" si="155"/>
        <v>0</v>
      </c>
    </row>
    <row r="361" spans="1:16" ht="18.75" x14ac:dyDescent="0.25">
      <c r="A361" s="157"/>
      <c r="B361" s="53"/>
      <c r="C361" s="53"/>
      <c r="D361" s="53"/>
      <c r="E361" s="60" t="s">
        <v>35</v>
      </c>
      <c r="F361" s="53"/>
      <c r="G361" s="55"/>
      <c r="H361" s="163" t="s">
        <v>12</v>
      </c>
      <c r="I361" s="164"/>
      <c r="J361" s="164"/>
      <c r="K361" s="165"/>
      <c r="L361" s="59">
        <f ca="1">IFERROR(__xludf.DUMMYFUNCTION("IMPORTRANGE(""https://docs.google.com/spreadsheets/d/1jTcq05yEiRwXcBMLjiodW9e4biSGYWAHcDj22rKWQ3s/edit?usp=sharing"",""กำแพงเพชร!L361"")+IMPORTRANGE(""https://docs.google.com/spreadsheets/d/1KS0zmDSZPk8KnTAbGN-Xk6MtX1YRZD0ldgdt20K4CRk/edit?usp=sharing"","&amp;"""เชียงราย!L361"")+IMPORTRANGE(""https://docs.google.com/spreadsheets/d/1rEDxBtusbi64tE0zunoIbsTVV16HeL0oJ6trHQeQ7K8/edit?usp=sharing"",""เชียงใหม่!L361"")+IMPORTRANGE(""https://docs.google.com/spreadsheets/d/1W6MnUbDkMi6xHnHko_XkFDO9kkuL6Wqyc-6OCDFjW9I/e"&amp;"dit?usp=sharing"",""ตาก!L361"")+IMPORTRANGE(""https://docs.google.com/spreadsheets/d/1IQAWArduLkta9LpYo4a_ULsyqdta6-6aDDiwpUnQT6c/edit?usp=sharing"",""นครสวรรค์!L361"")+IMPORTRANGE(""https://docs.google.com/spreadsheets/d/10s13Sk5xrltsiR-Zkbmk5DwIaDIKO8Xl"&amp;"bJAfqyT7Gvg/edit?usp=sharing"",""น่าน!L361"")+IMPORTRANGE(""https://docs.google.com/spreadsheets/d/1uu4nAn4Dbi1XREnLKKotUANlKXa7yCgRcgq8HEzQYW8/edit?usp=sharing"",""พะเยา!L361"")+IMPORTRANGE(""https://docs.google.com/spreadsheets/d/1xfJKIQxVOaPDIICqsflNlL"&amp;"u3JacTDk1FP9RH4phX7mI/edit?usp=sharing"",""พิจิตร!L361"")+IMPORTRANGE(""https://docs.google.com/spreadsheets/d/1JtRfZkJMHtEhI5RdRHxYUG4FIZHqKDpNyIuN7A1Q0_k/edit?usp=sharing"",""พิษณุโลก!L361"")+IMPORTRANGE(""https://docs.google.com/spreadsheets/d/1xlcVZWU"&amp;"Nn6SuWm0c307h32SiGkd9BaeQWlAktfD3KO8/edit?usp=sharing"",""เพชรบูรณ์!L361"")+IMPORTRANGE(""https://docs.google.com/spreadsheets/d/1lOVebEIsI9qjGXl6EX66luk7wiuP2tBaryw-wKvv4e0/edit?usp=sharing"",""แพร่!L361"")+IMPORTRANGE(""https://docs.google.com/spreadshe"&amp;"ets/d/1dQrvX0vEcN7Gu0fnZ0B5S90AeR19zth4XlExFBeExMY/edit?usp=sharing"",""แม่ฮ่องสอน!L361"")+IMPORTRANGE(""https://docs.google.com/spreadsheets/d/1DY4XTNNwjluuxqdfdn6qvOSlMRrZqUtmYcZR0ttFiG4/edit?usp=sharing"",""ลำปาง!L361"")+IMPORTRANGE(""https://docs.goog"&amp;"le.com/spreadsheets/d/1ICwG78r0OFT8biBlxnBF8r7she7gNSzOvJ958PWT09c/edit?usp=sharing"",""ลำพูน!L361"")+IMPORTRANGE(""https://docs.google.com/spreadsheets/d/1B0f2xJpZUC6Z0xXnqKlZtEPzsf6L84eP1r1Q15seqRM/edit?usp=sharing"",""สุโขทัย!L361"")+IMPORTRANGE(""http"&amp;"s://docs.google.com/spreadsheets/d/1v0b9pFQCsKUVExMei7AgY2yQkdeNQvtOssygGsXbiKo/edit?usp=sharing"",""อุตรดิตถ์!L361"")+IMPORTRANGE(""https://docs.google.com/spreadsheets/d/1UsNK1e-WWiCo2PvGqdNfdme4m17_Ezd3J69EeeiQPD0/edit?usp=sharing"",""อุทัยธานี!L361"")"),9127945)</f>
        <v>9127945</v>
      </c>
      <c r="M361" s="59">
        <f ca="1">IFERROR(__xludf.DUMMYFUNCTION("IMPORTRANGE(""https://docs.google.com/spreadsheets/d/1jTcq05yEiRwXcBMLjiodW9e4biSGYWAHcDj22rKWQ3s/edit?usp=sharing"",""กำแพงเพชร!M361"")+IMPORTRANGE(""https://docs.google.com/spreadsheets/d/1KS0zmDSZPk8KnTAbGN-Xk6MtX1YRZD0ldgdt20K4CRk/edit?usp=sharing"","&amp;"""เชียงราย!M361"")+IMPORTRANGE(""https://docs.google.com/spreadsheets/d/1rEDxBtusbi64tE0zunoIbsTVV16HeL0oJ6trHQeQ7K8/edit?usp=sharing"",""เชียงใหม่!M361"")+IMPORTRANGE(""https://docs.google.com/spreadsheets/d/1W6MnUbDkMi6xHnHko_XkFDO9kkuL6Wqyc-6OCDFjW9I/e"&amp;"dit?usp=sharing"",""ตาก!M361"")+IMPORTRANGE(""https://docs.google.com/spreadsheets/d/1IQAWArduLkta9LpYo4a_ULsyqdta6-6aDDiwpUnQT6c/edit?usp=sharing"",""นครสวรรค์!M361"")+IMPORTRANGE(""https://docs.google.com/spreadsheets/d/10s13Sk5xrltsiR-Zkbmk5DwIaDIKO8Xl"&amp;"bJAfqyT7Gvg/edit?usp=sharing"",""น่าน!M361"")+IMPORTRANGE(""https://docs.google.com/spreadsheets/d/1uu4nAn4Dbi1XREnLKKotUANlKXa7yCgRcgq8HEzQYW8/edit?usp=sharing"",""พะเยา!M361"")+IMPORTRANGE(""https://docs.google.com/spreadsheets/d/1xfJKIQxVOaPDIICqsflNlL"&amp;"u3JacTDk1FP9RH4phX7mI/edit?usp=sharing"",""พิจิตร!M361"")+IMPORTRANGE(""https://docs.google.com/spreadsheets/d/1JtRfZkJMHtEhI5RdRHxYUG4FIZHqKDpNyIuN7A1Q0_k/edit?usp=sharing"",""พิษณุโลก!M361"")+IMPORTRANGE(""https://docs.google.com/spreadsheets/d/1xlcVZWU"&amp;"Nn6SuWm0c307h32SiGkd9BaeQWlAktfD3KO8/edit?usp=sharing"",""เพชรบูรณ์!M361"")+IMPORTRANGE(""https://docs.google.com/spreadsheets/d/1lOVebEIsI9qjGXl6EX66luk7wiuP2tBaryw-wKvv4e0/edit?usp=sharing"",""แพร่!M361"")+IMPORTRANGE(""https://docs.google.com/spreadshe"&amp;"ets/d/1dQrvX0vEcN7Gu0fnZ0B5S90AeR19zth4XlExFBeExMY/edit?usp=sharing"",""แม่ฮ่องสอน!M361"")+IMPORTRANGE(""https://docs.google.com/spreadsheets/d/1DY4XTNNwjluuxqdfdn6qvOSlMRrZqUtmYcZR0ttFiG4/edit?usp=sharing"",""ลำปาง!M361"")+IMPORTRANGE(""https://docs.goog"&amp;"le.com/spreadsheets/d/1ICwG78r0OFT8biBlxnBF8r7she7gNSzOvJ958PWT09c/edit?usp=sharing"",""ลำพูน!M361"")+IMPORTRANGE(""https://docs.google.com/spreadsheets/d/1B0f2xJpZUC6Z0xXnqKlZtEPzsf6L84eP1r1Q15seqRM/edit?usp=sharing"",""สุโขทัย!M361"")+IMPORTRANGE(""http"&amp;"s://docs.google.com/spreadsheets/d/1v0b9pFQCsKUVExMei7AgY2yQkdeNQvtOssygGsXbiKo/edit?usp=sharing"",""อุตรดิตถ์!M361"")+IMPORTRANGE(""https://docs.google.com/spreadsheets/d/1UsNK1e-WWiCo2PvGqdNfdme4m17_Ezd3J69EeeiQPD0/edit?usp=sharing"",""อุทัยธานี!M361"")"),7729705)</f>
        <v>7729705</v>
      </c>
      <c r="N361" s="59">
        <f ca="1">IFERROR(__xludf.DUMMYFUNCTION("IMPORTRANGE(""https://docs.google.com/spreadsheets/d/1jTcq05yEiRwXcBMLjiodW9e4biSGYWAHcDj22rKWQ3s/edit?usp=sharing"",""กำแพงเพชร!N361"")+IMPORTRANGE(""https://docs.google.com/spreadsheets/d/1KS0zmDSZPk8KnTAbGN-Xk6MtX1YRZD0ldgdt20K4CRk/edit?usp=sharing"","&amp;"""เชียงราย!N361"")+IMPORTRANGE(""https://docs.google.com/spreadsheets/d/1rEDxBtusbi64tE0zunoIbsTVV16HeL0oJ6trHQeQ7K8/edit?usp=sharing"",""เชียงใหม่!N361"")+IMPORTRANGE(""https://docs.google.com/spreadsheets/d/1W6MnUbDkMi6xHnHko_XkFDO9kkuL6Wqyc-6OCDFjW9I/e"&amp;"dit?usp=sharing"",""ตาก!N361"")+IMPORTRANGE(""https://docs.google.com/spreadsheets/d/1IQAWArduLkta9LpYo4a_ULsyqdta6-6aDDiwpUnQT6c/edit?usp=sharing"",""นครสวรรค์!N361"")+IMPORTRANGE(""https://docs.google.com/spreadsheets/d/10s13Sk5xrltsiR-Zkbmk5DwIaDIKO8Xl"&amp;"bJAfqyT7Gvg/edit?usp=sharing"",""น่าน!N361"")+IMPORTRANGE(""https://docs.google.com/spreadsheets/d/1uu4nAn4Dbi1XREnLKKotUANlKXa7yCgRcgq8HEzQYW8/edit?usp=sharing"",""พะเยา!N361"")+IMPORTRANGE(""https://docs.google.com/spreadsheets/d/1xfJKIQxVOaPDIICqsflNlL"&amp;"u3JacTDk1FP9RH4phX7mI/edit?usp=sharing"",""พิจิตร!N361"")+IMPORTRANGE(""https://docs.google.com/spreadsheets/d/1JtRfZkJMHtEhI5RdRHxYUG4FIZHqKDpNyIuN7A1Q0_k/edit?usp=sharing"",""พิษณุโลก!N361"")+IMPORTRANGE(""https://docs.google.com/spreadsheets/d/1xlcVZWU"&amp;"Nn6SuWm0c307h32SiGkd9BaeQWlAktfD3KO8/edit?usp=sharing"",""เพชรบูรณ์!N361"")+IMPORTRANGE(""https://docs.google.com/spreadsheets/d/1lOVebEIsI9qjGXl6EX66luk7wiuP2tBaryw-wKvv4e0/edit?usp=sharing"",""แพร่!N361"")+IMPORTRANGE(""https://docs.google.com/spreadshe"&amp;"ets/d/1dQrvX0vEcN7Gu0fnZ0B5S90AeR19zth4XlExFBeExMY/edit?usp=sharing"",""แม่ฮ่องสอน!N361"")+IMPORTRANGE(""https://docs.google.com/spreadsheets/d/1DY4XTNNwjluuxqdfdn6qvOSlMRrZqUtmYcZR0ttFiG4/edit?usp=sharing"",""ลำปาง!N361"")+IMPORTRANGE(""https://docs.goog"&amp;"le.com/spreadsheets/d/1ICwG78r0OFT8biBlxnBF8r7she7gNSzOvJ958PWT09c/edit?usp=sharing"",""ลำพูน!N361"")+IMPORTRANGE(""https://docs.google.com/spreadsheets/d/1B0f2xJpZUC6Z0xXnqKlZtEPzsf6L84eP1r1Q15seqRM/edit?usp=sharing"",""สุโขทัย!N361"")+IMPORTRANGE(""http"&amp;"s://docs.google.com/spreadsheets/d/1v0b9pFQCsKUVExMei7AgY2yQkdeNQvtOssygGsXbiKo/edit?usp=sharing"",""อุตรดิตถ์!N361"")+IMPORTRANGE(""https://docs.google.com/spreadsheets/d/1UsNK1e-WWiCo2PvGqdNfdme4m17_Ezd3J69EeeiQPD0/edit?usp=sharing"",""อุทัยธานี!N361"")"),1771778.44)</f>
        <v>1771778.44</v>
      </c>
      <c r="O361" s="59">
        <f t="shared" ca="1" si="154"/>
        <v>19.410485492627313</v>
      </c>
      <c r="P361" s="59">
        <f t="shared" ca="1" si="155"/>
        <v>22.921682522166112</v>
      </c>
    </row>
    <row r="362" spans="1:16" ht="18.75" x14ac:dyDescent="0.25">
      <c r="A362" s="157"/>
      <c r="B362" s="53"/>
      <c r="C362" s="53"/>
      <c r="D362" s="54" t="s">
        <v>21</v>
      </c>
      <c r="E362" s="53"/>
      <c r="F362" s="53"/>
      <c r="G362" s="55"/>
      <c r="H362" s="166" t="s">
        <v>12</v>
      </c>
      <c r="I362" s="164"/>
      <c r="J362" s="164"/>
      <c r="K362" s="165"/>
      <c r="L362" s="59">
        <f t="shared" ref="L362:N362" ca="1" si="159">L363+L364</f>
        <v>0</v>
      </c>
      <c r="M362" s="59">
        <f t="shared" ca="1" si="159"/>
        <v>0</v>
      </c>
      <c r="N362" s="59">
        <f t="shared" ca="1" si="159"/>
        <v>0</v>
      </c>
      <c r="O362" s="59">
        <f t="shared" ca="1" si="154"/>
        <v>0</v>
      </c>
      <c r="P362" s="59">
        <f t="shared" ca="1" si="155"/>
        <v>0</v>
      </c>
    </row>
    <row r="363" spans="1:16" ht="18.75" x14ac:dyDescent="0.25">
      <c r="A363" s="157"/>
      <c r="B363" s="53"/>
      <c r="C363" s="53"/>
      <c r="D363" s="53"/>
      <c r="E363" s="60" t="s">
        <v>18</v>
      </c>
      <c r="F363" s="53"/>
      <c r="G363" s="55"/>
      <c r="H363" s="163" t="s">
        <v>12</v>
      </c>
      <c r="I363" s="164"/>
      <c r="J363" s="164"/>
      <c r="K363" s="165"/>
      <c r="L363" s="59">
        <f ca="1">IFERROR(__xludf.DUMMYFUNCTION("IMPORTRANGE(""https://docs.google.com/spreadsheets/d/1jTcq05yEiRwXcBMLjiodW9e4biSGYWAHcDj22rKWQ3s/edit?usp=sharing"",""กำแพงเพชร!L363"")+IMPORTRANGE(""https://docs.google.com/spreadsheets/d/1KS0zmDSZPk8KnTAbGN-Xk6MtX1YRZD0ldgdt20K4CRk/edit?usp=sharing"","&amp;"""เชียงราย!L363"")+IMPORTRANGE(""https://docs.google.com/spreadsheets/d/1rEDxBtusbi64tE0zunoIbsTVV16HeL0oJ6trHQeQ7K8/edit?usp=sharing"",""เชียงใหม่!L363"")+IMPORTRANGE(""https://docs.google.com/spreadsheets/d/1W6MnUbDkMi6xHnHko_XkFDO9kkuL6Wqyc-6OCDFjW9I/e"&amp;"dit?usp=sharing"",""ตาก!L363"")+IMPORTRANGE(""https://docs.google.com/spreadsheets/d/1IQAWArduLkta9LpYo4a_ULsyqdta6-6aDDiwpUnQT6c/edit?usp=sharing"",""นครสวรรค์!L363"")+IMPORTRANGE(""https://docs.google.com/spreadsheets/d/10s13Sk5xrltsiR-Zkbmk5DwIaDIKO8Xl"&amp;"bJAfqyT7Gvg/edit?usp=sharing"",""น่าน!L363"")+IMPORTRANGE(""https://docs.google.com/spreadsheets/d/1uu4nAn4Dbi1XREnLKKotUANlKXa7yCgRcgq8HEzQYW8/edit?usp=sharing"",""พะเยา!L363"")+IMPORTRANGE(""https://docs.google.com/spreadsheets/d/1xfJKIQxVOaPDIICqsflNlL"&amp;"u3JacTDk1FP9RH4phX7mI/edit?usp=sharing"",""พิจิตร!L363"")+IMPORTRANGE(""https://docs.google.com/spreadsheets/d/1JtRfZkJMHtEhI5RdRHxYUG4FIZHqKDpNyIuN7A1Q0_k/edit?usp=sharing"",""พิษณุโลก!L363"")+IMPORTRANGE(""https://docs.google.com/spreadsheets/d/1xlcVZWU"&amp;"Nn6SuWm0c307h32SiGkd9BaeQWlAktfD3KO8/edit?usp=sharing"",""เพชรบูรณ์!L363"")+IMPORTRANGE(""https://docs.google.com/spreadsheets/d/1lOVebEIsI9qjGXl6EX66luk7wiuP2tBaryw-wKvv4e0/edit?usp=sharing"",""แพร่!L363"")+IMPORTRANGE(""https://docs.google.com/spreadshe"&amp;"ets/d/1dQrvX0vEcN7Gu0fnZ0B5S90AeR19zth4XlExFBeExMY/edit?usp=sharing"",""แม่ฮ่องสอน!L363"")+IMPORTRANGE(""https://docs.google.com/spreadsheets/d/1DY4XTNNwjluuxqdfdn6qvOSlMRrZqUtmYcZR0ttFiG4/edit?usp=sharing"",""ลำปาง!L363"")+IMPORTRANGE(""https://docs.goog"&amp;"le.com/spreadsheets/d/1ICwG78r0OFT8biBlxnBF8r7she7gNSzOvJ958PWT09c/edit?usp=sharing"",""ลำพูน!L363"")+IMPORTRANGE(""https://docs.google.com/spreadsheets/d/1B0f2xJpZUC6Z0xXnqKlZtEPzsf6L84eP1r1Q15seqRM/edit?usp=sharing"",""สุโขทัย!L363"")+IMPORTRANGE(""http"&amp;"s://docs.google.com/spreadsheets/d/1v0b9pFQCsKUVExMei7AgY2yQkdeNQvtOssygGsXbiKo/edit?usp=sharing"",""อุตรดิตถ์!L363"")+IMPORTRANGE(""https://docs.google.com/spreadsheets/d/1UsNK1e-WWiCo2PvGqdNfdme4m17_Ezd3J69EeeiQPD0/edit?usp=sharing"",""อุทัยธานี!L363"")"),0)</f>
        <v>0</v>
      </c>
      <c r="M363" s="59">
        <f ca="1">IFERROR(__xludf.DUMMYFUNCTION("IMPORTRANGE(""https://docs.google.com/spreadsheets/d/1jTcq05yEiRwXcBMLjiodW9e4biSGYWAHcDj22rKWQ3s/edit?usp=sharing"",""กำแพงเพชร!M363"")+IMPORTRANGE(""https://docs.google.com/spreadsheets/d/1KS0zmDSZPk8KnTAbGN-Xk6MtX1YRZD0ldgdt20K4CRk/edit?usp=sharing"","&amp;"""เชียงราย!M363"")+IMPORTRANGE(""https://docs.google.com/spreadsheets/d/1rEDxBtusbi64tE0zunoIbsTVV16HeL0oJ6trHQeQ7K8/edit?usp=sharing"",""เชียงใหม่!M363"")+IMPORTRANGE(""https://docs.google.com/spreadsheets/d/1W6MnUbDkMi6xHnHko_XkFDO9kkuL6Wqyc-6OCDFjW9I/e"&amp;"dit?usp=sharing"",""ตาก!M363"")+IMPORTRANGE(""https://docs.google.com/spreadsheets/d/1IQAWArduLkta9LpYo4a_ULsyqdta6-6aDDiwpUnQT6c/edit?usp=sharing"",""นครสวรรค์!M363"")+IMPORTRANGE(""https://docs.google.com/spreadsheets/d/10s13Sk5xrltsiR-Zkbmk5DwIaDIKO8Xl"&amp;"bJAfqyT7Gvg/edit?usp=sharing"",""น่าน!M363"")+IMPORTRANGE(""https://docs.google.com/spreadsheets/d/1uu4nAn4Dbi1XREnLKKotUANlKXa7yCgRcgq8HEzQYW8/edit?usp=sharing"",""พะเยา!M363"")+IMPORTRANGE(""https://docs.google.com/spreadsheets/d/1xfJKIQxVOaPDIICqsflNlL"&amp;"u3JacTDk1FP9RH4phX7mI/edit?usp=sharing"",""พิจิตร!M363"")+IMPORTRANGE(""https://docs.google.com/spreadsheets/d/1JtRfZkJMHtEhI5RdRHxYUG4FIZHqKDpNyIuN7A1Q0_k/edit?usp=sharing"",""พิษณุโลก!M363"")+IMPORTRANGE(""https://docs.google.com/spreadsheets/d/1xlcVZWU"&amp;"Nn6SuWm0c307h32SiGkd9BaeQWlAktfD3KO8/edit?usp=sharing"",""เพชรบูรณ์!M363"")+IMPORTRANGE(""https://docs.google.com/spreadsheets/d/1lOVebEIsI9qjGXl6EX66luk7wiuP2tBaryw-wKvv4e0/edit?usp=sharing"",""แพร่!M363"")+IMPORTRANGE(""https://docs.google.com/spreadshe"&amp;"ets/d/1dQrvX0vEcN7Gu0fnZ0B5S90AeR19zth4XlExFBeExMY/edit?usp=sharing"",""แม่ฮ่องสอน!M363"")+IMPORTRANGE(""https://docs.google.com/spreadsheets/d/1DY4XTNNwjluuxqdfdn6qvOSlMRrZqUtmYcZR0ttFiG4/edit?usp=sharing"",""ลำปาง!M363"")+IMPORTRANGE(""https://docs.goog"&amp;"le.com/spreadsheets/d/1ICwG78r0OFT8biBlxnBF8r7she7gNSzOvJ958PWT09c/edit?usp=sharing"",""ลำพูน!M363"")+IMPORTRANGE(""https://docs.google.com/spreadsheets/d/1B0f2xJpZUC6Z0xXnqKlZtEPzsf6L84eP1r1Q15seqRM/edit?usp=sharing"",""สุโขทัย!M363"")+IMPORTRANGE(""http"&amp;"s://docs.google.com/spreadsheets/d/1v0b9pFQCsKUVExMei7AgY2yQkdeNQvtOssygGsXbiKo/edit?usp=sharing"",""อุตรดิตถ์!M363"")+IMPORTRANGE(""https://docs.google.com/spreadsheets/d/1UsNK1e-WWiCo2PvGqdNfdme4m17_Ezd3J69EeeiQPD0/edit?usp=sharing"",""อุทัยธานี!M363"")"),0)</f>
        <v>0</v>
      </c>
      <c r="N363" s="59">
        <f ca="1">IFERROR(__xludf.DUMMYFUNCTION("IMPORTRANGE(""https://docs.google.com/spreadsheets/d/1jTcq05yEiRwXcBMLjiodW9e4biSGYWAHcDj22rKWQ3s/edit?usp=sharing"",""กำแพงเพชร!N363"")+IMPORTRANGE(""https://docs.google.com/spreadsheets/d/1KS0zmDSZPk8KnTAbGN-Xk6MtX1YRZD0ldgdt20K4CRk/edit?usp=sharing"","&amp;"""เชียงราย!N363"")+IMPORTRANGE(""https://docs.google.com/spreadsheets/d/1rEDxBtusbi64tE0zunoIbsTVV16HeL0oJ6trHQeQ7K8/edit?usp=sharing"",""เชียงใหม่!N363"")+IMPORTRANGE(""https://docs.google.com/spreadsheets/d/1W6MnUbDkMi6xHnHko_XkFDO9kkuL6Wqyc-6OCDFjW9I/e"&amp;"dit?usp=sharing"",""ตาก!N363"")+IMPORTRANGE(""https://docs.google.com/spreadsheets/d/1IQAWArduLkta9LpYo4a_ULsyqdta6-6aDDiwpUnQT6c/edit?usp=sharing"",""นครสวรรค์!N363"")+IMPORTRANGE(""https://docs.google.com/spreadsheets/d/10s13Sk5xrltsiR-Zkbmk5DwIaDIKO8Xl"&amp;"bJAfqyT7Gvg/edit?usp=sharing"",""น่าน!N363"")+IMPORTRANGE(""https://docs.google.com/spreadsheets/d/1uu4nAn4Dbi1XREnLKKotUANlKXa7yCgRcgq8HEzQYW8/edit?usp=sharing"",""พะเยา!N363"")+IMPORTRANGE(""https://docs.google.com/spreadsheets/d/1xfJKIQxVOaPDIICqsflNlL"&amp;"u3JacTDk1FP9RH4phX7mI/edit?usp=sharing"",""พิจิตร!N363"")+IMPORTRANGE(""https://docs.google.com/spreadsheets/d/1JtRfZkJMHtEhI5RdRHxYUG4FIZHqKDpNyIuN7A1Q0_k/edit?usp=sharing"",""พิษณุโลก!N363"")+IMPORTRANGE(""https://docs.google.com/spreadsheets/d/1xlcVZWU"&amp;"Nn6SuWm0c307h32SiGkd9BaeQWlAktfD3KO8/edit?usp=sharing"",""เพชรบูรณ์!N363"")+IMPORTRANGE(""https://docs.google.com/spreadsheets/d/1lOVebEIsI9qjGXl6EX66luk7wiuP2tBaryw-wKvv4e0/edit?usp=sharing"",""แพร่!N363"")+IMPORTRANGE(""https://docs.google.com/spreadshe"&amp;"ets/d/1dQrvX0vEcN7Gu0fnZ0B5S90AeR19zth4XlExFBeExMY/edit?usp=sharing"",""แม่ฮ่องสอน!N363"")+IMPORTRANGE(""https://docs.google.com/spreadsheets/d/1DY4XTNNwjluuxqdfdn6qvOSlMRrZqUtmYcZR0ttFiG4/edit?usp=sharing"",""ลำปาง!N363"")+IMPORTRANGE(""https://docs.goog"&amp;"le.com/spreadsheets/d/1ICwG78r0OFT8biBlxnBF8r7she7gNSzOvJ958PWT09c/edit?usp=sharing"",""ลำพูน!N363"")+IMPORTRANGE(""https://docs.google.com/spreadsheets/d/1B0f2xJpZUC6Z0xXnqKlZtEPzsf6L84eP1r1Q15seqRM/edit?usp=sharing"",""สุโขทัย!N363"")+IMPORTRANGE(""http"&amp;"s://docs.google.com/spreadsheets/d/1v0b9pFQCsKUVExMei7AgY2yQkdeNQvtOssygGsXbiKo/edit?usp=sharing"",""อุตรดิตถ์!N363"")+IMPORTRANGE(""https://docs.google.com/spreadsheets/d/1UsNK1e-WWiCo2PvGqdNfdme4m17_Ezd3J69EeeiQPD0/edit?usp=sharing"",""อุทัยธานี!N363"")"),0)</f>
        <v>0</v>
      </c>
      <c r="O363" s="59">
        <f t="shared" ca="1" si="154"/>
        <v>0</v>
      </c>
      <c r="P363" s="59">
        <f t="shared" ca="1" si="155"/>
        <v>0</v>
      </c>
    </row>
    <row r="364" spans="1:16" ht="18.75" x14ac:dyDescent="0.25">
      <c r="A364" s="157"/>
      <c r="B364" s="53"/>
      <c r="C364" s="53"/>
      <c r="D364" s="53"/>
      <c r="E364" s="60" t="s">
        <v>19</v>
      </c>
      <c r="F364" s="53"/>
      <c r="G364" s="55"/>
      <c r="H364" s="166" t="s">
        <v>12</v>
      </c>
      <c r="I364" s="164"/>
      <c r="J364" s="164"/>
      <c r="K364" s="165"/>
      <c r="L364" s="59">
        <f ca="1">IFERROR(__xludf.DUMMYFUNCTION("IMPORTRANGE(""https://docs.google.com/spreadsheets/d/1jTcq05yEiRwXcBMLjiodW9e4biSGYWAHcDj22rKWQ3s/edit?usp=sharing"",""กำแพงเพชร!L364"")+IMPORTRANGE(""https://docs.google.com/spreadsheets/d/1KS0zmDSZPk8KnTAbGN-Xk6MtX1YRZD0ldgdt20K4CRk/edit?usp=sharing"","&amp;"""เชียงราย!L364"")+IMPORTRANGE(""https://docs.google.com/spreadsheets/d/1rEDxBtusbi64tE0zunoIbsTVV16HeL0oJ6trHQeQ7K8/edit?usp=sharing"",""เชียงใหม่!L364"")+IMPORTRANGE(""https://docs.google.com/spreadsheets/d/1W6MnUbDkMi6xHnHko_XkFDO9kkuL6Wqyc-6OCDFjW9I/e"&amp;"dit?usp=sharing"",""ตาก!L364"")+IMPORTRANGE(""https://docs.google.com/spreadsheets/d/1IQAWArduLkta9LpYo4a_ULsyqdta6-6aDDiwpUnQT6c/edit?usp=sharing"",""นครสวรรค์!L364"")+IMPORTRANGE(""https://docs.google.com/spreadsheets/d/10s13Sk5xrltsiR-Zkbmk5DwIaDIKO8Xl"&amp;"bJAfqyT7Gvg/edit?usp=sharing"",""น่าน!L364"")+IMPORTRANGE(""https://docs.google.com/spreadsheets/d/1uu4nAn4Dbi1XREnLKKotUANlKXa7yCgRcgq8HEzQYW8/edit?usp=sharing"",""พะเยา!L364"")+IMPORTRANGE(""https://docs.google.com/spreadsheets/d/1xfJKIQxVOaPDIICqsflNlL"&amp;"u3JacTDk1FP9RH4phX7mI/edit?usp=sharing"",""พิจิตร!L364"")+IMPORTRANGE(""https://docs.google.com/spreadsheets/d/1JtRfZkJMHtEhI5RdRHxYUG4FIZHqKDpNyIuN7A1Q0_k/edit?usp=sharing"",""พิษณุโลก!L364"")+IMPORTRANGE(""https://docs.google.com/spreadsheets/d/1xlcVZWU"&amp;"Nn6SuWm0c307h32SiGkd9BaeQWlAktfD3KO8/edit?usp=sharing"",""เพชรบูรณ์!L364"")+IMPORTRANGE(""https://docs.google.com/spreadsheets/d/1lOVebEIsI9qjGXl6EX66luk7wiuP2tBaryw-wKvv4e0/edit?usp=sharing"",""แพร่!L364"")+IMPORTRANGE(""https://docs.google.com/spreadshe"&amp;"ets/d/1dQrvX0vEcN7Gu0fnZ0B5S90AeR19zth4XlExFBeExMY/edit?usp=sharing"",""แม่ฮ่องสอน!L364"")+IMPORTRANGE(""https://docs.google.com/spreadsheets/d/1DY4XTNNwjluuxqdfdn6qvOSlMRrZqUtmYcZR0ttFiG4/edit?usp=sharing"",""ลำปาง!L364"")+IMPORTRANGE(""https://docs.goog"&amp;"le.com/spreadsheets/d/1ICwG78r0OFT8biBlxnBF8r7she7gNSzOvJ958PWT09c/edit?usp=sharing"",""ลำพูน!L364"")+IMPORTRANGE(""https://docs.google.com/spreadsheets/d/1B0f2xJpZUC6Z0xXnqKlZtEPzsf6L84eP1r1Q15seqRM/edit?usp=sharing"",""สุโขทัย!L364"")+IMPORTRANGE(""http"&amp;"s://docs.google.com/spreadsheets/d/1v0b9pFQCsKUVExMei7AgY2yQkdeNQvtOssygGsXbiKo/edit?usp=sharing"",""อุตรดิตถ์!L364"")+IMPORTRANGE(""https://docs.google.com/spreadsheets/d/1UsNK1e-WWiCo2PvGqdNfdme4m17_Ezd3J69EeeiQPD0/edit?usp=sharing"",""อุทัยธานี!L364"")"),0)</f>
        <v>0</v>
      </c>
      <c r="M364" s="59">
        <f ca="1">IFERROR(__xludf.DUMMYFUNCTION("IMPORTRANGE(""https://docs.google.com/spreadsheets/d/1jTcq05yEiRwXcBMLjiodW9e4biSGYWAHcDj22rKWQ3s/edit?usp=sharing"",""กำแพงเพชร!M364"")+IMPORTRANGE(""https://docs.google.com/spreadsheets/d/1KS0zmDSZPk8KnTAbGN-Xk6MtX1YRZD0ldgdt20K4CRk/edit?usp=sharing"","&amp;"""เชียงราย!M364"")+IMPORTRANGE(""https://docs.google.com/spreadsheets/d/1rEDxBtusbi64tE0zunoIbsTVV16HeL0oJ6trHQeQ7K8/edit?usp=sharing"",""เชียงใหม่!M364"")+IMPORTRANGE(""https://docs.google.com/spreadsheets/d/1W6MnUbDkMi6xHnHko_XkFDO9kkuL6Wqyc-6OCDFjW9I/e"&amp;"dit?usp=sharing"",""ตาก!M364"")+IMPORTRANGE(""https://docs.google.com/spreadsheets/d/1IQAWArduLkta9LpYo4a_ULsyqdta6-6aDDiwpUnQT6c/edit?usp=sharing"",""นครสวรรค์!M364"")+IMPORTRANGE(""https://docs.google.com/spreadsheets/d/10s13Sk5xrltsiR-Zkbmk5DwIaDIKO8Xl"&amp;"bJAfqyT7Gvg/edit?usp=sharing"",""น่าน!M364"")+IMPORTRANGE(""https://docs.google.com/spreadsheets/d/1uu4nAn4Dbi1XREnLKKotUANlKXa7yCgRcgq8HEzQYW8/edit?usp=sharing"",""พะเยา!M364"")+IMPORTRANGE(""https://docs.google.com/spreadsheets/d/1xfJKIQxVOaPDIICqsflNlL"&amp;"u3JacTDk1FP9RH4phX7mI/edit?usp=sharing"",""พิจิตร!M364"")+IMPORTRANGE(""https://docs.google.com/spreadsheets/d/1JtRfZkJMHtEhI5RdRHxYUG4FIZHqKDpNyIuN7A1Q0_k/edit?usp=sharing"",""พิษณุโลก!M364"")+IMPORTRANGE(""https://docs.google.com/spreadsheets/d/1xlcVZWU"&amp;"Nn6SuWm0c307h32SiGkd9BaeQWlAktfD3KO8/edit?usp=sharing"",""เพชรบูรณ์!M364"")+IMPORTRANGE(""https://docs.google.com/spreadsheets/d/1lOVebEIsI9qjGXl6EX66luk7wiuP2tBaryw-wKvv4e0/edit?usp=sharing"",""แพร่!M364"")+IMPORTRANGE(""https://docs.google.com/spreadshe"&amp;"ets/d/1dQrvX0vEcN7Gu0fnZ0B5S90AeR19zth4XlExFBeExMY/edit?usp=sharing"",""แม่ฮ่องสอน!M364"")+IMPORTRANGE(""https://docs.google.com/spreadsheets/d/1DY4XTNNwjluuxqdfdn6qvOSlMRrZqUtmYcZR0ttFiG4/edit?usp=sharing"",""ลำปาง!M364"")+IMPORTRANGE(""https://docs.goog"&amp;"le.com/spreadsheets/d/1ICwG78r0OFT8biBlxnBF8r7she7gNSzOvJ958PWT09c/edit?usp=sharing"",""ลำพูน!M364"")+IMPORTRANGE(""https://docs.google.com/spreadsheets/d/1B0f2xJpZUC6Z0xXnqKlZtEPzsf6L84eP1r1Q15seqRM/edit?usp=sharing"",""สุโขทัย!M364"")+IMPORTRANGE(""http"&amp;"s://docs.google.com/spreadsheets/d/1v0b9pFQCsKUVExMei7AgY2yQkdeNQvtOssygGsXbiKo/edit?usp=sharing"",""อุตรดิตถ์!M364"")+IMPORTRANGE(""https://docs.google.com/spreadsheets/d/1UsNK1e-WWiCo2PvGqdNfdme4m17_Ezd3J69EeeiQPD0/edit?usp=sharing"",""อุทัยธานี!M364"")"),0)</f>
        <v>0</v>
      </c>
      <c r="N364" s="59">
        <f ca="1">IFERROR(__xludf.DUMMYFUNCTION("IMPORTRANGE(""https://docs.google.com/spreadsheets/d/1jTcq05yEiRwXcBMLjiodW9e4biSGYWAHcDj22rKWQ3s/edit?usp=sharing"",""กำแพงเพชร!N364"")+IMPORTRANGE(""https://docs.google.com/spreadsheets/d/1KS0zmDSZPk8KnTAbGN-Xk6MtX1YRZD0ldgdt20K4CRk/edit?usp=sharing"","&amp;"""เชียงราย!N364"")+IMPORTRANGE(""https://docs.google.com/spreadsheets/d/1rEDxBtusbi64tE0zunoIbsTVV16HeL0oJ6trHQeQ7K8/edit?usp=sharing"",""เชียงใหม่!N364"")+IMPORTRANGE(""https://docs.google.com/spreadsheets/d/1W6MnUbDkMi6xHnHko_XkFDO9kkuL6Wqyc-6OCDFjW9I/e"&amp;"dit?usp=sharing"",""ตาก!N364"")+IMPORTRANGE(""https://docs.google.com/spreadsheets/d/1IQAWArduLkta9LpYo4a_ULsyqdta6-6aDDiwpUnQT6c/edit?usp=sharing"",""นครสวรรค์!N364"")+IMPORTRANGE(""https://docs.google.com/spreadsheets/d/10s13Sk5xrltsiR-Zkbmk5DwIaDIKO8Xl"&amp;"bJAfqyT7Gvg/edit?usp=sharing"",""น่าน!N364"")+IMPORTRANGE(""https://docs.google.com/spreadsheets/d/1uu4nAn4Dbi1XREnLKKotUANlKXa7yCgRcgq8HEzQYW8/edit?usp=sharing"",""พะเยา!N364"")+IMPORTRANGE(""https://docs.google.com/spreadsheets/d/1xfJKIQxVOaPDIICqsflNlL"&amp;"u3JacTDk1FP9RH4phX7mI/edit?usp=sharing"",""พิจิตร!N364"")+IMPORTRANGE(""https://docs.google.com/spreadsheets/d/1JtRfZkJMHtEhI5RdRHxYUG4FIZHqKDpNyIuN7A1Q0_k/edit?usp=sharing"",""พิษณุโลก!N364"")+IMPORTRANGE(""https://docs.google.com/spreadsheets/d/1xlcVZWU"&amp;"Nn6SuWm0c307h32SiGkd9BaeQWlAktfD3KO8/edit?usp=sharing"",""เพชรบูรณ์!N364"")+IMPORTRANGE(""https://docs.google.com/spreadsheets/d/1lOVebEIsI9qjGXl6EX66luk7wiuP2tBaryw-wKvv4e0/edit?usp=sharing"",""แพร่!N364"")+IMPORTRANGE(""https://docs.google.com/spreadshe"&amp;"ets/d/1dQrvX0vEcN7Gu0fnZ0B5S90AeR19zth4XlExFBeExMY/edit?usp=sharing"",""แม่ฮ่องสอน!N364"")+IMPORTRANGE(""https://docs.google.com/spreadsheets/d/1DY4XTNNwjluuxqdfdn6qvOSlMRrZqUtmYcZR0ttFiG4/edit?usp=sharing"",""ลำปาง!N364"")+IMPORTRANGE(""https://docs.goog"&amp;"le.com/spreadsheets/d/1ICwG78r0OFT8biBlxnBF8r7she7gNSzOvJ958PWT09c/edit?usp=sharing"",""ลำพูน!N364"")+IMPORTRANGE(""https://docs.google.com/spreadsheets/d/1B0f2xJpZUC6Z0xXnqKlZtEPzsf6L84eP1r1Q15seqRM/edit?usp=sharing"",""สุโขทัย!N364"")+IMPORTRANGE(""http"&amp;"s://docs.google.com/spreadsheets/d/1v0b9pFQCsKUVExMei7AgY2yQkdeNQvtOssygGsXbiKo/edit?usp=sharing"",""อุตรดิตถ์!N364"")+IMPORTRANGE(""https://docs.google.com/spreadsheets/d/1UsNK1e-WWiCo2PvGqdNfdme4m17_Ezd3J69EeeiQPD0/edit?usp=sharing"",""อุทัยธานี!N364"")"),0)</f>
        <v>0</v>
      </c>
      <c r="O364" s="59">
        <f t="shared" ca="1" si="154"/>
        <v>0</v>
      </c>
      <c r="P364" s="59">
        <f t="shared" ca="1" si="155"/>
        <v>0</v>
      </c>
    </row>
    <row r="365" spans="1:16" ht="19.5" x14ac:dyDescent="0.3">
      <c r="A365" s="279"/>
      <c r="B365" s="280"/>
      <c r="C365" s="282"/>
      <c r="D365" s="442" t="s">
        <v>142</v>
      </c>
      <c r="E365" s="282"/>
      <c r="F365" s="282"/>
      <c r="G365" s="283"/>
      <c r="H365" s="443" t="s">
        <v>33</v>
      </c>
      <c r="I365" s="444">
        <f t="shared" ref="I365:J365" ca="1" si="160">I371</f>
        <v>4260</v>
      </c>
      <c r="J365" s="445">
        <f t="shared" ca="1" si="160"/>
        <v>1162</v>
      </c>
      <c r="K365" s="446">
        <f ca="1">IF(I365&gt;0,J365*100/I365,0)</f>
        <v>27.27699530516432</v>
      </c>
      <c r="L365" s="287"/>
      <c r="M365" s="287"/>
      <c r="N365" s="287"/>
      <c r="O365" s="287"/>
      <c r="P365" s="287"/>
    </row>
    <row r="366" spans="1:16" ht="19.5" x14ac:dyDescent="0.3">
      <c r="A366" s="167"/>
      <c r="B366" s="168"/>
      <c r="C366" s="158" t="s">
        <v>16</v>
      </c>
      <c r="D366" s="169" t="s">
        <v>36</v>
      </c>
      <c r="E366" s="170"/>
      <c r="F366" s="170"/>
      <c r="G366" s="171"/>
      <c r="H366" s="172"/>
      <c r="I366" s="57"/>
      <c r="J366" s="57"/>
      <c r="K366" s="58"/>
      <c r="L366" s="165"/>
      <c r="M366" s="165"/>
      <c r="N366" s="165"/>
      <c r="O366" s="165"/>
      <c r="P366" s="165"/>
    </row>
    <row r="367" spans="1:16" ht="18.75" x14ac:dyDescent="0.25">
      <c r="A367" s="167"/>
      <c r="B367" s="174"/>
      <c r="C367" s="168"/>
      <c r="D367" s="174"/>
      <c r="E367" s="173" t="s">
        <v>143</v>
      </c>
      <c r="F367" s="174"/>
      <c r="G367" s="172"/>
      <c r="H367" s="183" t="s">
        <v>33</v>
      </c>
      <c r="I367" s="194">
        <v>0</v>
      </c>
      <c r="J367" s="181">
        <f ca="1">IFERROR(__xludf.DUMMYFUNCTION("IMPORTRANGE(""https://docs.google.com/spreadsheets/d/1jTcq05yEiRwXcBMLjiodW9e4biSGYWAHcDj22rKWQ3s/edit?usp=sharing"",""กำแพงเพชร!J367"")+IMPORTRANGE(""https://docs.google.com/spreadsheets/d/1KS0zmDSZPk8KnTAbGN-Xk6MtX1YRZD0ldgdt20K4CRk/edit?usp=sharing"","&amp;"""เชียงราย!J367"")+IMPORTRANGE(""https://docs.google.com/spreadsheets/d/1rEDxBtusbi64tE0zunoIbsTVV16HeL0oJ6trHQeQ7K8/edit?usp=sharing"",""เชียงใหม่!J367"")+IMPORTRANGE(""https://docs.google.com/spreadsheets/d/1W6MnUbDkMi6xHnHko_XkFDO9kkuL6Wqyc-6OCDFjW9I/e"&amp;"dit?usp=sharing"",""ตาก!J367"")+IMPORTRANGE(""https://docs.google.com/spreadsheets/d/1IQAWArduLkta9LpYo4a_ULsyqdta6-6aDDiwpUnQT6c/edit?usp=sharing"",""นครสวรรค์!J367"")+IMPORTRANGE(""https://docs.google.com/spreadsheets/d/10s13Sk5xrltsiR-Zkbmk5DwIaDIKO8Xl"&amp;"bJAfqyT7Gvg/edit?usp=sharing"",""น่าน!J367"")+IMPORTRANGE(""https://docs.google.com/spreadsheets/d/1uu4nAn4Dbi1XREnLKKotUANlKXa7yCgRcgq8HEzQYW8/edit?usp=sharing"",""พะเยา!J367"")+IMPORTRANGE(""https://docs.google.com/spreadsheets/d/1xfJKIQxVOaPDIICqsflNlL"&amp;"u3JacTDk1FP9RH4phX7mI/edit?usp=sharing"",""พิจิตร!J367"")+IMPORTRANGE(""https://docs.google.com/spreadsheets/d/1JtRfZkJMHtEhI5RdRHxYUG4FIZHqKDpNyIuN7A1Q0_k/edit?usp=sharing"",""พิษณุโลก!J367"")+IMPORTRANGE(""https://docs.google.com/spreadsheets/d/1xlcVZWU"&amp;"Nn6SuWm0c307h32SiGkd9BaeQWlAktfD3KO8/edit?usp=sharing"",""เพชรบูรณ์!J367"")+IMPORTRANGE(""https://docs.google.com/spreadsheets/d/1lOVebEIsI9qjGXl6EX66luk7wiuP2tBaryw-wKvv4e0/edit?usp=sharing"",""แพร่!J367"")+IMPORTRANGE(""https://docs.google.com/spreadshe"&amp;"ets/d/1dQrvX0vEcN7Gu0fnZ0B5S90AeR19zth4XlExFBeExMY/edit?usp=sharing"",""แม่ฮ่องสอน!J367"")+IMPORTRANGE(""https://docs.google.com/spreadsheets/d/1DY4XTNNwjluuxqdfdn6qvOSlMRrZqUtmYcZR0ttFiG4/edit?usp=sharing"",""ลำปาง!J367"")+IMPORTRANGE(""https://docs.goog"&amp;"le.com/spreadsheets/d/1ICwG78r0OFT8biBlxnBF8r7she7gNSzOvJ958PWT09c/edit?usp=sharing"",""ลำพูน!J367"")+IMPORTRANGE(""https://docs.google.com/spreadsheets/d/1B0f2xJpZUC6Z0xXnqKlZtEPzsf6L84eP1r1Q15seqRM/edit?usp=sharing"",""สุโขทัย!J367"")+IMPORTRANGE(""http"&amp;"s://docs.google.com/spreadsheets/d/1v0b9pFQCsKUVExMei7AgY2yQkdeNQvtOssygGsXbiKo/edit?usp=sharing"",""อุตรดิตถ์!J367"")+IMPORTRANGE(""https://docs.google.com/spreadsheets/d/1UsNK1e-WWiCo2PvGqdNfdme4m17_Ezd3J69EeeiQPD0/edit?usp=sharing"",""อุทัยธานี!J367"")"),500)</f>
        <v>500</v>
      </c>
      <c r="K367" s="59">
        <f t="shared" ref="K367:K372" si="161">IF(I367&gt;0,J367*100/I367,0)</f>
        <v>0</v>
      </c>
      <c r="L367" s="165"/>
      <c r="M367" s="165"/>
      <c r="N367" s="165"/>
      <c r="O367" s="165"/>
      <c r="P367" s="165"/>
    </row>
    <row r="368" spans="1:16" ht="18.75" x14ac:dyDescent="0.25">
      <c r="A368" s="167"/>
      <c r="B368" s="174"/>
      <c r="C368" s="168"/>
      <c r="D368" s="174"/>
      <c r="E368" s="174"/>
      <c r="F368" s="174"/>
      <c r="G368" s="172"/>
      <c r="H368" s="183" t="s">
        <v>44</v>
      </c>
      <c r="I368" s="181">
        <f ca="1">IFERROR(__xludf.DUMMYFUNCTION("IMPORTRANGE(""https://docs.google.com/spreadsheets/d/1jTcq05yEiRwXcBMLjiodW9e4biSGYWAHcDj22rKWQ3s/edit?usp=sharing"",""กำแพงเพชร!I368"")+IMPORTRANGE(""https://docs.google.com/spreadsheets/d/1KS0zmDSZPk8KnTAbGN-Xk6MtX1YRZD0ldgdt20K4CRk/edit?usp=sharing"","&amp;"""เชียงราย!I368"")+IMPORTRANGE(""https://docs.google.com/spreadsheets/d/1rEDxBtusbi64tE0zunoIbsTVV16HeL0oJ6trHQeQ7K8/edit?usp=sharing"",""เชียงใหม่!I368"")+IMPORTRANGE(""https://docs.google.com/spreadsheets/d/1W6MnUbDkMi6xHnHko_XkFDO9kkuL6Wqyc-6OCDFjW9I/e"&amp;"dit?usp=sharing"",""ตาก!I368"")+IMPORTRANGE(""https://docs.google.com/spreadsheets/d/1IQAWArduLkta9LpYo4a_ULsyqdta6-6aDDiwpUnQT6c/edit?usp=sharing"",""นครสวรรค์!I368"")+IMPORTRANGE(""https://docs.google.com/spreadsheets/d/10s13Sk5xrltsiR-Zkbmk5DwIaDIKO8Xl"&amp;"bJAfqyT7Gvg/edit?usp=sharing"",""น่าน!I368"")+IMPORTRANGE(""https://docs.google.com/spreadsheets/d/1uu4nAn4Dbi1XREnLKKotUANlKXa7yCgRcgq8HEzQYW8/edit?usp=sharing"",""พะเยา!I368"")+IMPORTRANGE(""https://docs.google.com/spreadsheets/d/1xfJKIQxVOaPDIICqsflNlL"&amp;"u3JacTDk1FP9RH4phX7mI/edit?usp=sharing"",""พิจิตร!I368"")+IMPORTRANGE(""https://docs.google.com/spreadsheets/d/1JtRfZkJMHtEhI5RdRHxYUG4FIZHqKDpNyIuN7A1Q0_k/edit?usp=sharing"",""พิษณุโลก!I368"")+IMPORTRANGE(""https://docs.google.com/spreadsheets/d/1xlcVZWU"&amp;"Nn6SuWm0c307h32SiGkd9BaeQWlAktfD3KO8/edit?usp=sharing"",""เพชรบูรณ์!I368"")+IMPORTRANGE(""https://docs.google.com/spreadsheets/d/1lOVebEIsI9qjGXl6EX66luk7wiuP2tBaryw-wKvv4e0/edit?usp=sharing"",""แพร่!I368"")+IMPORTRANGE(""https://docs.google.com/spreadshe"&amp;"ets/d/1dQrvX0vEcN7Gu0fnZ0B5S90AeR19zth4XlExFBeExMY/edit?usp=sharing"",""แม่ฮ่องสอน!I368"")+IMPORTRANGE(""https://docs.google.com/spreadsheets/d/1DY4XTNNwjluuxqdfdn6qvOSlMRrZqUtmYcZR0ttFiG4/edit?usp=sharing"",""ลำปาง!I368"")+IMPORTRANGE(""https://docs.goog"&amp;"le.com/spreadsheets/d/1ICwG78r0OFT8biBlxnBF8r7she7gNSzOvJ958PWT09c/edit?usp=sharing"",""ลำพูน!I368"")+IMPORTRANGE(""https://docs.google.com/spreadsheets/d/1B0f2xJpZUC6Z0xXnqKlZtEPzsf6L84eP1r1Q15seqRM/edit?usp=sharing"",""สุโขทัย!I368"")+IMPORTRANGE(""http"&amp;"s://docs.google.com/spreadsheets/d/1v0b9pFQCsKUVExMei7AgY2yQkdeNQvtOssygGsXbiKo/edit?usp=sharing"",""อุตรดิตถ์!I368"")+IMPORTRANGE(""https://docs.google.com/spreadsheets/d/1UsNK1e-WWiCo2PvGqdNfdme4m17_Ezd3J69EeeiQPD0/edit?usp=sharing"",""อุทัยธานี!I368"")"),35340)</f>
        <v>35340</v>
      </c>
      <c r="J368" s="181">
        <f ca="1">IFERROR(__xludf.DUMMYFUNCTION("IMPORTRANGE(""https://docs.google.com/spreadsheets/d/1jTcq05yEiRwXcBMLjiodW9e4biSGYWAHcDj22rKWQ3s/edit?usp=sharing"",""กำแพงเพชร!J368"")+IMPORTRANGE(""https://docs.google.com/spreadsheets/d/1KS0zmDSZPk8KnTAbGN-Xk6MtX1YRZD0ldgdt20K4CRk/edit?usp=sharing"","&amp;"""เชียงราย!J368"")+IMPORTRANGE(""https://docs.google.com/spreadsheets/d/1rEDxBtusbi64tE0zunoIbsTVV16HeL0oJ6trHQeQ7K8/edit?usp=sharing"",""เชียงใหม่!J368"")+IMPORTRANGE(""https://docs.google.com/spreadsheets/d/1W6MnUbDkMi6xHnHko_XkFDO9kkuL6Wqyc-6OCDFjW9I/e"&amp;"dit?usp=sharing"",""ตาก!J368"")+IMPORTRANGE(""https://docs.google.com/spreadsheets/d/1IQAWArduLkta9LpYo4a_ULsyqdta6-6aDDiwpUnQT6c/edit?usp=sharing"",""นครสวรรค์!J368"")+IMPORTRANGE(""https://docs.google.com/spreadsheets/d/10s13Sk5xrltsiR-Zkbmk5DwIaDIKO8Xl"&amp;"bJAfqyT7Gvg/edit?usp=sharing"",""น่าน!J368"")+IMPORTRANGE(""https://docs.google.com/spreadsheets/d/1uu4nAn4Dbi1XREnLKKotUANlKXa7yCgRcgq8HEzQYW8/edit?usp=sharing"",""พะเยา!J368"")+IMPORTRANGE(""https://docs.google.com/spreadsheets/d/1xfJKIQxVOaPDIICqsflNlL"&amp;"u3JacTDk1FP9RH4phX7mI/edit?usp=sharing"",""พิจิตร!J368"")+IMPORTRANGE(""https://docs.google.com/spreadsheets/d/1JtRfZkJMHtEhI5RdRHxYUG4FIZHqKDpNyIuN7A1Q0_k/edit?usp=sharing"",""พิษณุโลก!J368"")+IMPORTRANGE(""https://docs.google.com/spreadsheets/d/1xlcVZWU"&amp;"Nn6SuWm0c307h32SiGkd9BaeQWlAktfD3KO8/edit?usp=sharing"",""เพชรบูรณ์!J368"")+IMPORTRANGE(""https://docs.google.com/spreadsheets/d/1lOVebEIsI9qjGXl6EX66luk7wiuP2tBaryw-wKvv4e0/edit?usp=sharing"",""แพร่!J368"")+IMPORTRANGE(""https://docs.google.com/spreadshe"&amp;"ets/d/1dQrvX0vEcN7Gu0fnZ0B5S90AeR19zth4XlExFBeExMY/edit?usp=sharing"",""แม่ฮ่องสอน!J368"")+IMPORTRANGE(""https://docs.google.com/spreadsheets/d/1DY4XTNNwjluuxqdfdn6qvOSlMRrZqUtmYcZR0ttFiG4/edit?usp=sharing"",""ลำปาง!J368"")+IMPORTRANGE(""https://docs.goog"&amp;"le.com/spreadsheets/d/1ICwG78r0OFT8biBlxnBF8r7she7gNSzOvJ958PWT09c/edit?usp=sharing"",""ลำพูน!J368"")+IMPORTRANGE(""https://docs.google.com/spreadsheets/d/1B0f2xJpZUC6Z0xXnqKlZtEPzsf6L84eP1r1Q15seqRM/edit?usp=sharing"",""สุโขทัย!J368"")+IMPORTRANGE(""http"&amp;"s://docs.google.com/spreadsheets/d/1v0b9pFQCsKUVExMei7AgY2yQkdeNQvtOssygGsXbiKo/edit?usp=sharing"",""อุตรดิตถ์!J368"")+IMPORTRANGE(""https://docs.google.com/spreadsheets/d/1UsNK1e-WWiCo2PvGqdNfdme4m17_Ezd3J69EeeiQPD0/edit?usp=sharing"",""อุทัยธานี!J368"")"),3080.07)</f>
        <v>3080.07</v>
      </c>
      <c r="K368" s="59">
        <f t="shared" ca="1" si="161"/>
        <v>8.7155348047538208</v>
      </c>
      <c r="L368" s="165"/>
      <c r="M368" s="165"/>
      <c r="N368" s="165"/>
      <c r="O368" s="165"/>
      <c r="P368" s="165"/>
    </row>
    <row r="369" spans="1:16" ht="18.75" x14ac:dyDescent="0.25">
      <c r="A369" s="167"/>
      <c r="B369" s="174"/>
      <c r="C369" s="168"/>
      <c r="D369" s="174"/>
      <c r="E369" s="173" t="s">
        <v>144</v>
      </c>
      <c r="F369" s="174"/>
      <c r="G369" s="172"/>
      <c r="H369" s="179" t="s">
        <v>33</v>
      </c>
      <c r="I369" s="181">
        <f ca="1">IFERROR(__xludf.DUMMYFUNCTION("IMPORTRANGE(""https://docs.google.com/spreadsheets/d/1jTcq05yEiRwXcBMLjiodW9e4biSGYWAHcDj22rKWQ3s/edit?usp=sharing"",""กำแพงเพชร!I369"")+IMPORTRANGE(""https://docs.google.com/spreadsheets/d/1KS0zmDSZPk8KnTAbGN-Xk6MtX1YRZD0ldgdt20K4CRk/edit?usp=sharing"","&amp;"""เชียงราย!I369"")+IMPORTRANGE(""https://docs.google.com/spreadsheets/d/1rEDxBtusbi64tE0zunoIbsTVV16HeL0oJ6trHQeQ7K8/edit?usp=sharing"",""เชียงใหม่!I369"")+IMPORTRANGE(""https://docs.google.com/spreadsheets/d/1W6MnUbDkMi6xHnHko_XkFDO9kkuL6Wqyc-6OCDFjW9I/e"&amp;"dit?usp=sharing"",""ตาก!I369"")+IMPORTRANGE(""https://docs.google.com/spreadsheets/d/1IQAWArduLkta9LpYo4a_ULsyqdta6-6aDDiwpUnQT6c/edit?usp=sharing"",""นครสวรรค์!I369"")+IMPORTRANGE(""https://docs.google.com/spreadsheets/d/10s13Sk5xrltsiR-Zkbmk5DwIaDIKO8Xl"&amp;"bJAfqyT7Gvg/edit?usp=sharing"",""น่าน!I369"")+IMPORTRANGE(""https://docs.google.com/spreadsheets/d/1uu4nAn4Dbi1XREnLKKotUANlKXa7yCgRcgq8HEzQYW8/edit?usp=sharing"",""พะเยา!I369"")+IMPORTRANGE(""https://docs.google.com/spreadsheets/d/1xfJKIQxVOaPDIICqsflNlL"&amp;"u3JacTDk1FP9RH4phX7mI/edit?usp=sharing"",""พิจิตร!I369"")+IMPORTRANGE(""https://docs.google.com/spreadsheets/d/1JtRfZkJMHtEhI5RdRHxYUG4FIZHqKDpNyIuN7A1Q0_k/edit?usp=sharing"",""พิษณุโลก!I369"")+IMPORTRANGE(""https://docs.google.com/spreadsheets/d/1xlcVZWU"&amp;"Nn6SuWm0c307h32SiGkd9BaeQWlAktfD3KO8/edit?usp=sharing"",""เพชรบูรณ์!I369"")+IMPORTRANGE(""https://docs.google.com/spreadsheets/d/1lOVebEIsI9qjGXl6EX66luk7wiuP2tBaryw-wKvv4e0/edit?usp=sharing"",""แพร่!I369"")+IMPORTRANGE(""https://docs.google.com/spreadshe"&amp;"ets/d/1dQrvX0vEcN7Gu0fnZ0B5S90AeR19zth4XlExFBeExMY/edit?usp=sharing"",""แม่ฮ่องสอน!I369"")+IMPORTRANGE(""https://docs.google.com/spreadsheets/d/1DY4XTNNwjluuxqdfdn6qvOSlMRrZqUtmYcZR0ttFiG4/edit?usp=sharing"",""ลำปาง!I369"")+IMPORTRANGE(""https://docs.goog"&amp;"le.com/spreadsheets/d/1ICwG78r0OFT8biBlxnBF8r7she7gNSzOvJ958PWT09c/edit?usp=sharing"",""ลำพูน!I369"")+IMPORTRANGE(""https://docs.google.com/spreadsheets/d/1B0f2xJpZUC6Z0xXnqKlZtEPzsf6L84eP1r1Q15seqRM/edit?usp=sharing"",""สุโขทัย!I369"")+IMPORTRANGE(""http"&amp;"s://docs.google.com/spreadsheets/d/1v0b9pFQCsKUVExMei7AgY2yQkdeNQvtOssygGsXbiKo/edit?usp=sharing"",""อุตรดิตถ์!I369"")+IMPORTRANGE(""https://docs.google.com/spreadsheets/d/1UsNK1e-WWiCo2PvGqdNfdme4m17_Ezd3J69EeeiQPD0/edit?usp=sharing"",""อุทัยธานี!I369"")"),6265)</f>
        <v>6265</v>
      </c>
      <c r="J369" s="181">
        <f ca="1">IFERROR(__xludf.DUMMYFUNCTION("IMPORTRANGE(""https://docs.google.com/spreadsheets/d/1jTcq05yEiRwXcBMLjiodW9e4biSGYWAHcDj22rKWQ3s/edit?usp=sharing"",""กำแพงเพชร!J369"")+IMPORTRANGE(""https://docs.google.com/spreadsheets/d/1KS0zmDSZPk8KnTAbGN-Xk6MtX1YRZD0ldgdt20K4CRk/edit?usp=sharing"","&amp;"""เชียงราย!J369"")+IMPORTRANGE(""https://docs.google.com/spreadsheets/d/1rEDxBtusbi64tE0zunoIbsTVV16HeL0oJ6trHQeQ7K8/edit?usp=sharing"",""เชียงใหม่!J369"")+IMPORTRANGE(""https://docs.google.com/spreadsheets/d/1W6MnUbDkMi6xHnHko_XkFDO9kkuL6Wqyc-6OCDFjW9I/e"&amp;"dit?usp=sharing"",""ตาก!J369"")+IMPORTRANGE(""https://docs.google.com/spreadsheets/d/1IQAWArduLkta9LpYo4a_ULsyqdta6-6aDDiwpUnQT6c/edit?usp=sharing"",""นครสวรรค์!J369"")+IMPORTRANGE(""https://docs.google.com/spreadsheets/d/10s13Sk5xrltsiR-Zkbmk5DwIaDIKO8Xl"&amp;"bJAfqyT7Gvg/edit?usp=sharing"",""น่าน!J369"")+IMPORTRANGE(""https://docs.google.com/spreadsheets/d/1uu4nAn4Dbi1XREnLKKotUANlKXa7yCgRcgq8HEzQYW8/edit?usp=sharing"",""พะเยา!J369"")+IMPORTRANGE(""https://docs.google.com/spreadsheets/d/1xfJKIQxVOaPDIICqsflNlL"&amp;"u3JacTDk1FP9RH4phX7mI/edit?usp=sharing"",""พิจิตร!J369"")+IMPORTRANGE(""https://docs.google.com/spreadsheets/d/1JtRfZkJMHtEhI5RdRHxYUG4FIZHqKDpNyIuN7A1Q0_k/edit?usp=sharing"",""พิษณุโลก!J369"")+IMPORTRANGE(""https://docs.google.com/spreadsheets/d/1xlcVZWU"&amp;"Nn6SuWm0c307h32SiGkd9BaeQWlAktfD3KO8/edit?usp=sharing"",""เพชรบูรณ์!J369"")+IMPORTRANGE(""https://docs.google.com/spreadsheets/d/1lOVebEIsI9qjGXl6EX66luk7wiuP2tBaryw-wKvv4e0/edit?usp=sharing"",""แพร่!J369"")+IMPORTRANGE(""https://docs.google.com/spreadshe"&amp;"ets/d/1dQrvX0vEcN7Gu0fnZ0B5S90AeR19zth4XlExFBeExMY/edit?usp=sharing"",""แม่ฮ่องสอน!J369"")+IMPORTRANGE(""https://docs.google.com/spreadsheets/d/1DY4XTNNwjluuxqdfdn6qvOSlMRrZqUtmYcZR0ttFiG4/edit?usp=sharing"",""ลำปาง!J369"")+IMPORTRANGE(""https://docs.goog"&amp;"le.com/spreadsheets/d/1ICwG78r0OFT8biBlxnBF8r7she7gNSzOvJ958PWT09c/edit?usp=sharing"",""ลำพูน!J369"")+IMPORTRANGE(""https://docs.google.com/spreadsheets/d/1B0f2xJpZUC6Z0xXnqKlZtEPzsf6L84eP1r1Q15seqRM/edit?usp=sharing"",""สุโขทัย!J369"")+IMPORTRANGE(""http"&amp;"s://docs.google.com/spreadsheets/d/1v0b9pFQCsKUVExMei7AgY2yQkdeNQvtOssygGsXbiKo/edit?usp=sharing"",""อุตรดิตถ์!J369"")+IMPORTRANGE(""https://docs.google.com/spreadsheets/d/1UsNK1e-WWiCo2PvGqdNfdme4m17_Ezd3J69EeeiQPD0/edit?usp=sharing"",""อุทัยธานี!J369"")"),1404)</f>
        <v>1404</v>
      </c>
      <c r="K369" s="59">
        <f t="shared" ca="1" si="161"/>
        <v>22.410215482841181</v>
      </c>
      <c r="L369" s="165"/>
      <c r="M369" s="165"/>
      <c r="N369" s="165"/>
      <c r="O369" s="165"/>
      <c r="P369" s="165"/>
    </row>
    <row r="370" spans="1:16" ht="18.75" x14ac:dyDescent="0.25">
      <c r="A370" s="167"/>
      <c r="B370" s="174"/>
      <c r="C370" s="168"/>
      <c r="D370" s="174"/>
      <c r="E370" s="174"/>
      <c r="F370" s="174"/>
      <c r="G370" s="172"/>
      <c r="H370" s="179" t="s">
        <v>44</v>
      </c>
      <c r="I370" s="194">
        <v>0</v>
      </c>
      <c r="J370" s="181">
        <f ca="1">IFERROR(__xludf.DUMMYFUNCTION("IMPORTRANGE(""https://docs.google.com/spreadsheets/d/1jTcq05yEiRwXcBMLjiodW9e4biSGYWAHcDj22rKWQ3s/edit?usp=sharing"",""กำแพงเพชร!J370"")+IMPORTRANGE(""https://docs.google.com/spreadsheets/d/1KS0zmDSZPk8KnTAbGN-Xk6MtX1YRZD0ldgdt20K4CRk/edit?usp=sharing"","&amp;"""เชียงราย!J370"")+IMPORTRANGE(""https://docs.google.com/spreadsheets/d/1rEDxBtusbi64tE0zunoIbsTVV16HeL0oJ6trHQeQ7K8/edit?usp=sharing"",""เชียงใหม่!J370"")+IMPORTRANGE(""https://docs.google.com/spreadsheets/d/1W6MnUbDkMi6xHnHko_XkFDO9kkuL6Wqyc-6OCDFjW9I/e"&amp;"dit?usp=sharing"",""ตาก!J370"")+IMPORTRANGE(""https://docs.google.com/spreadsheets/d/1IQAWArduLkta9LpYo4a_ULsyqdta6-6aDDiwpUnQT6c/edit?usp=sharing"",""นครสวรรค์!J370"")+IMPORTRANGE(""https://docs.google.com/spreadsheets/d/10s13Sk5xrltsiR-Zkbmk5DwIaDIKO8Xl"&amp;"bJAfqyT7Gvg/edit?usp=sharing"",""น่าน!J370"")+IMPORTRANGE(""https://docs.google.com/spreadsheets/d/1uu4nAn4Dbi1XREnLKKotUANlKXa7yCgRcgq8HEzQYW8/edit?usp=sharing"",""พะเยา!J370"")+IMPORTRANGE(""https://docs.google.com/spreadsheets/d/1xfJKIQxVOaPDIICqsflNlL"&amp;"u3JacTDk1FP9RH4phX7mI/edit?usp=sharing"",""พิจิตร!J370"")+IMPORTRANGE(""https://docs.google.com/spreadsheets/d/1JtRfZkJMHtEhI5RdRHxYUG4FIZHqKDpNyIuN7A1Q0_k/edit?usp=sharing"",""พิษณุโลก!J370"")+IMPORTRANGE(""https://docs.google.com/spreadsheets/d/1xlcVZWU"&amp;"Nn6SuWm0c307h32SiGkd9BaeQWlAktfD3KO8/edit?usp=sharing"",""เพชรบูรณ์!J370"")+IMPORTRANGE(""https://docs.google.com/spreadsheets/d/1lOVebEIsI9qjGXl6EX66luk7wiuP2tBaryw-wKvv4e0/edit?usp=sharing"",""แพร่!J370"")+IMPORTRANGE(""https://docs.google.com/spreadshe"&amp;"ets/d/1dQrvX0vEcN7Gu0fnZ0B5S90AeR19zth4XlExFBeExMY/edit?usp=sharing"",""แม่ฮ่องสอน!J370"")+IMPORTRANGE(""https://docs.google.com/spreadsheets/d/1DY4XTNNwjluuxqdfdn6qvOSlMRrZqUtmYcZR0ttFiG4/edit?usp=sharing"",""ลำปาง!J370"")+IMPORTRANGE(""https://docs.goog"&amp;"le.com/spreadsheets/d/1ICwG78r0OFT8biBlxnBF8r7she7gNSzOvJ958PWT09c/edit?usp=sharing"",""ลำพูน!J370"")+IMPORTRANGE(""https://docs.google.com/spreadsheets/d/1B0f2xJpZUC6Z0xXnqKlZtEPzsf6L84eP1r1Q15seqRM/edit?usp=sharing"",""สุโขทัย!J370"")+IMPORTRANGE(""http"&amp;"s://docs.google.com/spreadsheets/d/1v0b9pFQCsKUVExMei7AgY2yQkdeNQvtOssygGsXbiKo/edit?usp=sharing"",""อุตรดิตถ์!J370"")+IMPORTRANGE(""https://docs.google.com/spreadsheets/d/1UsNK1e-WWiCo2PvGqdNfdme4m17_Ezd3J69EeeiQPD0/edit?usp=sharing"",""อุทัยธานี!J370"")"),15726.3999999999)</f>
        <v>15726.3999999999</v>
      </c>
      <c r="K370" s="59">
        <f t="shared" si="161"/>
        <v>0</v>
      </c>
      <c r="L370" s="165"/>
      <c r="M370" s="165"/>
      <c r="N370" s="165"/>
      <c r="O370" s="165"/>
      <c r="P370" s="165"/>
    </row>
    <row r="371" spans="1:16" ht="18.75" x14ac:dyDescent="0.25">
      <c r="A371" s="167"/>
      <c r="B371" s="174"/>
      <c r="C371" s="168"/>
      <c r="D371" s="174"/>
      <c r="E371" s="447" t="s">
        <v>145</v>
      </c>
      <c r="F371" s="174"/>
      <c r="G371" s="172"/>
      <c r="H371" s="179" t="s">
        <v>33</v>
      </c>
      <c r="I371" s="181">
        <f ca="1">IFERROR(__xludf.DUMMYFUNCTION("IMPORTRANGE(""https://docs.google.com/spreadsheets/d/1jTcq05yEiRwXcBMLjiodW9e4biSGYWAHcDj22rKWQ3s/edit?usp=sharing"",""กำแพงเพชร!I371"")+IMPORTRANGE(""https://docs.google.com/spreadsheets/d/1KS0zmDSZPk8KnTAbGN-Xk6MtX1YRZD0ldgdt20K4CRk/edit?usp=sharing"","&amp;"""เชียงราย!I371"")+IMPORTRANGE(""https://docs.google.com/spreadsheets/d/1rEDxBtusbi64tE0zunoIbsTVV16HeL0oJ6trHQeQ7K8/edit?usp=sharing"",""เชียงใหม่!I371"")+IMPORTRANGE(""https://docs.google.com/spreadsheets/d/1W6MnUbDkMi6xHnHko_XkFDO9kkuL6Wqyc-6OCDFjW9I/e"&amp;"dit?usp=sharing"",""ตาก!I371"")+IMPORTRANGE(""https://docs.google.com/spreadsheets/d/1IQAWArduLkta9LpYo4a_ULsyqdta6-6aDDiwpUnQT6c/edit?usp=sharing"",""นครสวรรค์!I371"")+IMPORTRANGE(""https://docs.google.com/spreadsheets/d/10s13Sk5xrltsiR-Zkbmk5DwIaDIKO8Xl"&amp;"bJAfqyT7Gvg/edit?usp=sharing"",""น่าน!I371"")+IMPORTRANGE(""https://docs.google.com/spreadsheets/d/1uu4nAn4Dbi1XREnLKKotUANlKXa7yCgRcgq8HEzQYW8/edit?usp=sharing"",""พะเยา!I371"")+IMPORTRANGE(""https://docs.google.com/spreadsheets/d/1xfJKIQxVOaPDIICqsflNlL"&amp;"u3JacTDk1FP9RH4phX7mI/edit?usp=sharing"",""พิจิตร!I371"")+IMPORTRANGE(""https://docs.google.com/spreadsheets/d/1JtRfZkJMHtEhI5RdRHxYUG4FIZHqKDpNyIuN7A1Q0_k/edit?usp=sharing"",""พิษณุโลก!I371"")+IMPORTRANGE(""https://docs.google.com/spreadsheets/d/1xlcVZWU"&amp;"Nn6SuWm0c307h32SiGkd9BaeQWlAktfD3KO8/edit?usp=sharing"",""เพชรบูรณ์!I371"")+IMPORTRANGE(""https://docs.google.com/spreadsheets/d/1lOVebEIsI9qjGXl6EX66luk7wiuP2tBaryw-wKvv4e0/edit?usp=sharing"",""แพร่!I371"")+IMPORTRANGE(""https://docs.google.com/spreadshe"&amp;"ets/d/1dQrvX0vEcN7Gu0fnZ0B5S90AeR19zth4XlExFBeExMY/edit?usp=sharing"",""แม่ฮ่องสอน!I371"")+IMPORTRANGE(""https://docs.google.com/spreadsheets/d/1DY4XTNNwjluuxqdfdn6qvOSlMRrZqUtmYcZR0ttFiG4/edit?usp=sharing"",""ลำปาง!I371"")+IMPORTRANGE(""https://docs.goog"&amp;"le.com/spreadsheets/d/1ICwG78r0OFT8biBlxnBF8r7she7gNSzOvJ958PWT09c/edit?usp=sharing"",""ลำพูน!I371"")+IMPORTRANGE(""https://docs.google.com/spreadsheets/d/1B0f2xJpZUC6Z0xXnqKlZtEPzsf6L84eP1r1Q15seqRM/edit?usp=sharing"",""สุโขทัย!I371"")+IMPORTRANGE(""http"&amp;"s://docs.google.com/spreadsheets/d/1v0b9pFQCsKUVExMei7AgY2yQkdeNQvtOssygGsXbiKo/edit?usp=sharing"",""อุตรดิตถ์!I371"")+IMPORTRANGE(""https://docs.google.com/spreadsheets/d/1UsNK1e-WWiCo2PvGqdNfdme4m17_Ezd3J69EeeiQPD0/edit?usp=sharing"",""อุทัยธานี!I371"")"),4260)</f>
        <v>4260</v>
      </c>
      <c r="J371" s="181">
        <f ca="1">IFERROR(__xludf.DUMMYFUNCTION("IMPORTRANGE(""https://docs.google.com/spreadsheets/d/1jTcq05yEiRwXcBMLjiodW9e4biSGYWAHcDj22rKWQ3s/edit?usp=sharing"",""กำแพงเพชร!J371"")+IMPORTRANGE(""https://docs.google.com/spreadsheets/d/1KS0zmDSZPk8KnTAbGN-Xk6MtX1YRZD0ldgdt20K4CRk/edit?usp=sharing"","&amp;"""เชียงราย!J371"")+IMPORTRANGE(""https://docs.google.com/spreadsheets/d/1rEDxBtusbi64tE0zunoIbsTVV16HeL0oJ6trHQeQ7K8/edit?usp=sharing"",""เชียงใหม่!J371"")+IMPORTRANGE(""https://docs.google.com/spreadsheets/d/1W6MnUbDkMi6xHnHko_XkFDO9kkuL6Wqyc-6OCDFjW9I/e"&amp;"dit?usp=sharing"",""ตาก!J371"")+IMPORTRANGE(""https://docs.google.com/spreadsheets/d/1IQAWArduLkta9LpYo4a_ULsyqdta6-6aDDiwpUnQT6c/edit?usp=sharing"",""นครสวรรค์!J371"")+IMPORTRANGE(""https://docs.google.com/spreadsheets/d/10s13Sk5xrltsiR-Zkbmk5DwIaDIKO8Xl"&amp;"bJAfqyT7Gvg/edit?usp=sharing"",""น่าน!J371"")+IMPORTRANGE(""https://docs.google.com/spreadsheets/d/1uu4nAn4Dbi1XREnLKKotUANlKXa7yCgRcgq8HEzQYW8/edit?usp=sharing"",""พะเยา!J371"")+IMPORTRANGE(""https://docs.google.com/spreadsheets/d/1xfJKIQxVOaPDIICqsflNlL"&amp;"u3JacTDk1FP9RH4phX7mI/edit?usp=sharing"",""พิจิตร!J371"")+IMPORTRANGE(""https://docs.google.com/spreadsheets/d/1JtRfZkJMHtEhI5RdRHxYUG4FIZHqKDpNyIuN7A1Q0_k/edit?usp=sharing"",""พิษณุโลก!J371"")+IMPORTRANGE(""https://docs.google.com/spreadsheets/d/1xlcVZWU"&amp;"Nn6SuWm0c307h32SiGkd9BaeQWlAktfD3KO8/edit?usp=sharing"",""เพชรบูรณ์!J371"")+IMPORTRANGE(""https://docs.google.com/spreadsheets/d/1lOVebEIsI9qjGXl6EX66luk7wiuP2tBaryw-wKvv4e0/edit?usp=sharing"",""แพร่!J371"")+IMPORTRANGE(""https://docs.google.com/spreadshe"&amp;"ets/d/1dQrvX0vEcN7Gu0fnZ0B5S90AeR19zth4XlExFBeExMY/edit?usp=sharing"",""แม่ฮ่องสอน!J371"")+IMPORTRANGE(""https://docs.google.com/spreadsheets/d/1DY4XTNNwjluuxqdfdn6qvOSlMRrZqUtmYcZR0ttFiG4/edit?usp=sharing"",""ลำปาง!J371"")+IMPORTRANGE(""https://docs.goog"&amp;"le.com/spreadsheets/d/1ICwG78r0OFT8biBlxnBF8r7she7gNSzOvJ958PWT09c/edit?usp=sharing"",""ลำพูน!J371"")+IMPORTRANGE(""https://docs.google.com/spreadsheets/d/1B0f2xJpZUC6Z0xXnqKlZtEPzsf6L84eP1r1Q15seqRM/edit?usp=sharing"",""สุโขทัย!J371"")+IMPORTRANGE(""http"&amp;"s://docs.google.com/spreadsheets/d/1v0b9pFQCsKUVExMei7AgY2yQkdeNQvtOssygGsXbiKo/edit?usp=sharing"",""อุตรดิตถ์!J371"")+IMPORTRANGE(""https://docs.google.com/spreadsheets/d/1UsNK1e-WWiCo2PvGqdNfdme4m17_Ezd3J69EeeiQPD0/edit?usp=sharing"",""อุทัยธานี!J371"")"),1162)</f>
        <v>1162</v>
      </c>
      <c r="K371" s="59">
        <f t="shared" ca="1" si="161"/>
        <v>27.27699530516432</v>
      </c>
      <c r="L371" s="165"/>
      <c r="M371" s="165"/>
      <c r="N371" s="165"/>
      <c r="O371" s="165"/>
      <c r="P371" s="165"/>
    </row>
    <row r="372" spans="1:16" ht="18.75" x14ac:dyDescent="0.25">
      <c r="A372" s="448"/>
      <c r="B372" s="341"/>
      <c r="C372" s="339"/>
      <c r="D372" s="341"/>
      <c r="E372" s="341"/>
      <c r="F372" s="341"/>
      <c r="G372" s="342"/>
      <c r="H372" s="449" t="s">
        <v>44</v>
      </c>
      <c r="I372" s="343">
        <v>0</v>
      </c>
      <c r="J372" s="254">
        <f ca="1">IFERROR(__xludf.DUMMYFUNCTION("IMPORTRANGE(""https://docs.google.com/spreadsheets/d/1jTcq05yEiRwXcBMLjiodW9e4biSGYWAHcDj22rKWQ3s/edit?usp=sharing"",""กำแพงเพชร!J372"")+IMPORTRANGE(""https://docs.google.com/spreadsheets/d/1KS0zmDSZPk8KnTAbGN-Xk6MtX1YRZD0ldgdt20K4CRk/edit?usp=sharing"","&amp;"""เชียงราย!J372"")+IMPORTRANGE(""https://docs.google.com/spreadsheets/d/1rEDxBtusbi64tE0zunoIbsTVV16HeL0oJ6trHQeQ7K8/edit?usp=sharing"",""เชียงใหม่!J372"")+IMPORTRANGE(""https://docs.google.com/spreadsheets/d/1W6MnUbDkMi6xHnHko_XkFDO9kkuL6Wqyc-6OCDFjW9I/e"&amp;"dit?usp=sharing"",""ตาก!J372"")+IMPORTRANGE(""https://docs.google.com/spreadsheets/d/1IQAWArduLkta9LpYo4a_ULsyqdta6-6aDDiwpUnQT6c/edit?usp=sharing"",""นครสวรรค์!J372"")+IMPORTRANGE(""https://docs.google.com/spreadsheets/d/10s13Sk5xrltsiR-Zkbmk5DwIaDIKO8Xl"&amp;"bJAfqyT7Gvg/edit?usp=sharing"",""น่าน!J372"")+IMPORTRANGE(""https://docs.google.com/spreadsheets/d/1uu4nAn4Dbi1XREnLKKotUANlKXa7yCgRcgq8HEzQYW8/edit?usp=sharing"",""พะเยา!J372"")+IMPORTRANGE(""https://docs.google.com/spreadsheets/d/1xfJKIQxVOaPDIICqsflNlL"&amp;"u3JacTDk1FP9RH4phX7mI/edit?usp=sharing"",""พิจิตร!J372"")+IMPORTRANGE(""https://docs.google.com/spreadsheets/d/1JtRfZkJMHtEhI5RdRHxYUG4FIZHqKDpNyIuN7A1Q0_k/edit?usp=sharing"",""พิษณุโลก!J372"")+IMPORTRANGE(""https://docs.google.com/spreadsheets/d/1xlcVZWU"&amp;"Nn6SuWm0c307h32SiGkd9BaeQWlAktfD3KO8/edit?usp=sharing"",""เพชรบูรณ์!J372"")+IMPORTRANGE(""https://docs.google.com/spreadsheets/d/1lOVebEIsI9qjGXl6EX66luk7wiuP2tBaryw-wKvv4e0/edit?usp=sharing"",""แพร่!J372"")+IMPORTRANGE(""https://docs.google.com/spreadshe"&amp;"ets/d/1dQrvX0vEcN7Gu0fnZ0B5S90AeR19zth4XlExFBeExMY/edit?usp=sharing"",""แม่ฮ่องสอน!J372"")+IMPORTRANGE(""https://docs.google.com/spreadsheets/d/1DY4XTNNwjluuxqdfdn6qvOSlMRrZqUtmYcZR0ttFiG4/edit?usp=sharing"",""ลำปาง!J372"")+IMPORTRANGE(""https://docs.goog"&amp;"le.com/spreadsheets/d/1ICwG78r0OFT8biBlxnBF8r7she7gNSzOvJ958PWT09c/edit?usp=sharing"",""ลำพูน!J372"")+IMPORTRANGE(""https://docs.google.com/spreadsheets/d/1B0f2xJpZUC6Z0xXnqKlZtEPzsf6L84eP1r1Q15seqRM/edit?usp=sharing"",""สุโขทัย!J372"")+IMPORTRANGE(""http"&amp;"s://docs.google.com/spreadsheets/d/1v0b9pFQCsKUVExMei7AgY2yQkdeNQvtOssygGsXbiKo/edit?usp=sharing"",""อุตรดิตถ์!J372"")+IMPORTRANGE(""https://docs.google.com/spreadsheets/d/1UsNK1e-WWiCo2PvGqdNfdme4m17_Ezd3J69EeeiQPD0/edit?usp=sharing"",""อุทัยธานี!J372"")"),13841.6699999999)</f>
        <v>13841.6699999999</v>
      </c>
      <c r="K372" s="139">
        <f t="shared" si="161"/>
        <v>0</v>
      </c>
      <c r="L372" s="345"/>
      <c r="M372" s="345"/>
      <c r="N372" s="345"/>
      <c r="O372" s="345"/>
      <c r="P372" s="345"/>
    </row>
    <row r="373" spans="1:16" ht="19.5" x14ac:dyDescent="0.3">
      <c r="A373" s="450"/>
      <c r="B373" s="451"/>
      <c r="C373" s="452"/>
      <c r="D373" s="4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454"/>
      <c r="F373" s="454"/>
      <c r="G373" s="454"/>
      <c r="H373" s="455"/>
      <c r="I373" s="456"/>
      <c r="J373" s="456"/>
      <c r="K373" s="457"/>
      <c r="L373" s="457"/>
      <c r="M373" s="457"/>
      <c r="N373" s="457"/>
      <c r="O373" s="457"/>
      <c r="P373" s="457"/>
    </row>
    <row r="374" spans="1:16" ht="19.5" x14ac:dyDescent="0.3">
      <c r="A374" s="458" t="s">
        <v>146</v>
      </c>
      <c r="B374" s="459"/>
      <c r="C374" s="459"/>
      <c r="D374" s="459"/>
      <c r="E374" s="460"/>
      <c r="F374" s="460"/>
      <c r="G374" s="460"/>
      <c r="H374" s="460"/>
      <c r="I374" s="461"/>
      <c r="J374" s="461"/>
      <c r="K374" s="462"/>
      <c r="L374" s="462"/>
      <c r="M374" s="462"/>
      <c r="N374" s="462"/>
      <c r="O374" s="462"/>
      <c r="P374" s="463"/>
    </row>
    <row r="375" spans="1:16" ht="19.5" x14ac:dyDescent="0.3">
      <c r="A375" s="464" t="s">
        <v>147</v>
      </c>
      <c r="B375" s="465"/>
      <c r="C375" s="465"/>
      <c r="D375" s="466"/>
      <c r="E375" s="465"/>
      <c r="F375" s="465"/>
      <c r="G375" s="465"/>
      <c r="H375" s="467"/>
      <c r="I375" s="468"/>
      <c r="J375" s="468"/>
      <c r="K375" s="469"/>
      <c r="L375" s="469"/>
      <c r="M375" s="469"/>
      <c r="N375" s="469"/>
      <c r="O375" s="469"/>
      <c r="P375" s="469"/>
    </row>
    <row r="376" spans="1:16" ht="19.5" x14ac:dyDescent="0.3">
      <c r="A376" s="470"/>
      <c r="B376" s="471" t="s">
        <v>148</v>
      </c>
      <c r="C376" s="472"/>
      <c r="D376" s="473"/>
      <c r="E376" s="473"/>
      <c r="F376" s="473"/>
      <c r="G376" s="474"/>
      <c r="H376" s="475" t="s">
        <v>54</v>
      </c>
      <c r="I376" s="476">
        <f t="shared" ref="I376:J376" si="162">I388</f>
        <v>0</v>
      </c>
      <c r="J376" s="476">
        <f t="shared" si="162"/>
        <v>0</v>
      </c>
      <c r="K376" s="477">
        <f>IF(I376&gt;0,J376*100/I376,0)</f>
        <v>0</v>
      </c>
      <c r="L376" s="478"/>
      <c r="M376" s="478"/>
      <c r="N376" s="478"/>
      <c r="O376" s="478"/>
      <c r="P376" s="478"/>
    </row>
    <row r="377" spans="1:16" ht="19.5" x14ac:dyDescent="0.3">
      <c r="A377" s="157"/>
      <c r="B377" s="53"/>
      <c r="C377" s="158" t="s">
        <v>16</v>
      </c>
      <c r="D377" s="159" t="s">
        <v>17</v>
      </c>
      <c r="E377" s="53"/>
      <c r="F377" s="53"/>
      <c r="G377" s="55"/>
      <c r="H377" s="160" t="s">
        <v>12</v>
      </c>
      <c r="I377" s="57"/>
      <c r="J377" s="57"/>
      <c r="K377" s="58"/>
      <c r="L377" s="161">
        <f t="shared" ref="L377:N377" ca="1" si="163">L378+L379</f>
        <v>0</v>
      </c>
      <c r="M377" s="161">
        <f t="shared" ca="1" si="163"/>
        <v>0</v>
      </c>
      <c r="N377" s="161">
        <f t="shared" ca="1" si="163"/>
        <v>0</v>
      </c>
      <c r="O377" s="161">
        <f t="shared" ref="O377:O385" ca="1" si="164">IF(L377&gt;0,N377*100/L377,0)</f>
        <v>0</v>
      </c>
      <c r="P377" s="161">
        <f t="shared" ref="P377:P385" ca="1" si="165">IF(M377&gt;0,N377*100/M377,0)</f>
        <v>0</v>
      </c>
    </row>
    <row r="378" spans="1:16" ht="18.75" x14ac:dyDescent="0.25">
      <c r="A378" s="157"/>
      <c r="B378" s="53"/>
      <c r="C378" s="53"/>
      <c r="D378" s="53"/>
      <c r="E378" s="60" t="s">
        <v>18</v>
      </c>
      <c r="F378" s="53"/>
      <c r="G378" s="55"/>
      <c r="H378" s="162" t="s">
        <v>12</v>
      </c>
      <c r="I378" s="57"/>
      <c r="J378" s="57"/>
      <c r="K378" s="58"/>
      <c r="L378" s="59">
        <f t="shared" ref="L378:N378" ca="1" si="166">L381+L384</f>
        <v>0</v>
      </c>
      <c r="M378" s="59">
        <f t="shared" ca="1" si="166"/>
        <v>0</v>
      </c>
      <c r="N378" s="59">
        <f t="shared" ca="1" si="166"/>
        <v>0</v>
      </c>
      <c r="O378" s="59">
        <f t="shared" ca="1" si="164"/>
        <v>0</v>
      </c>
      <c r="P378" s="59">
        <f t="shared" ca="1" si="165"/>
        <v>0</v>
      </c>
    </row>
    <row r="379" spans="1:16" ht="18.75" x14ac:dyDescent="0.25">
      <c r="A379" s="157"/>
      <c r="B379" s="53"/>
      <c r="C379" s="53"/>
      <c r="D379" s="53"/>
      <c r="E379" s="60" t="s">
        <v>19</v>
      </c>
      <c r="F379" s="53"/>
      <c r="G379" s="55"/>
      <c r="H379" s="162" t="s">
        <v>12</v>
      </c>
      <c r="I379" s="57"/>
      <c r="J379" s="57"/>
      <c r="K379" s="58"/>
      <c r="L379" s="59">
        <f t="shared" ref="L379:N379" ca="1" si="167">L382+L385</f>
        <v>0</v>
      </c>
      <c r="M379" s="59">
        <f t="shared" ca="1" si="167"/>
        <v>0</v>
      </c>
      <c r="N379" s="59">
        <f t="shared" ca="1" si="167"/>
        <v>0</v>
      </c>
      <c r="O379" s="59">
        <f t="shared" ca="1" si="164"/>
        <v>0</v>
      </c>
      <c r="P379" s="59">
        <f t="shared" ca="1" si="165"/>
        <v>0</v>
      </c>
    </row>
    <row r="380" spans="1:16" ht="18.75" x14ac:dyDescent="0.25">
      <c r="A380" s="157"/>
      <c r="B380" s="53"/>
      <c r="C380" s="53"/>
      <c r="D380" s="54" t="s">
        <v>20</v>
      </c>
      <c r="E380" s="53"/>
      <c r="F380" s="53"/>
      <c r="G380" s="55"/>
      <c r="H380" s="163" t="s">
        <v>12</v>
      </c>
      <c r="I380" s="164"/>
      <c r="J380" s="164"/>
      <c r="K380" s="165"/>
      <c r="L380" s="59">
        <f t="shared" ref="L380:N380" ca="1" si="168">L381+L382</f>
        <v>0</v>
      </c>
      <c r="M380" s="59">
        <f t="shared" ca="1" si="168"/>
        <v>0</v>
      </c>
      <c r="N380" s="59">
        <f t="shared" ca="1" si="168"/>
        <v>0</v>
      </c>
      <c r="O380" s="59">
        <f t="shared" ca="1" si="164"/>
        <v>0</v>
      </c>
      <c r="P380" s="59">
        <f t="shared" ca="1" si="165"/>
        <v>0</v>
      </c>
    </row>
    <row r="381" spans="1:16" ht="18.75" x14ac:dyDescent="0.25">
      <c r="A381" s="157"/>
      <c r="B381" s="53"/>
      <c r="C381" s="53"/>
      <c r="D381" s="53"/>
      <c r="E381" s="60" t="s">
        <v>34</v>
      </c>
      <c r="F381" s="53"/>
      <c r="G381" s="55"/>
      <c r="H381" s="163" t="s">
        <v>12</v>
      </c>
      <c r="I381" s="164"/>
      <c r="J381" s="164"/>
      <c r="K381" s="165"/>
      <c r="L381" s="59">
        <f ca="1">IFERROR(__xludf.DUMMYFUNCTION("IMPORTRANGE(""https://docs.google.com/spreadsheets/d/1jTcq05yEiRwXcBMLjiodW9e4biSGYWAHcDj22rKWQ3s/edit?usp=sharing"",""กำแพงเพชร!L381"")+IMPORTRANGE(""https://docs.google.com/spreadsheets/d/1KS0zmDSZPk8KnTAbGN-Xk6MtX1YRZD0ldgdt20K4CRk/edit?usp=sharing"","&amp;"""เชียงราย!L381"")+IMPORTRANGE(""https://docs.google.com/spreadsheets/d/1rEDxBtusbi64tE0zunoIbsTVV16HeL0oJ6trHQeQ7K8/edit?usp=sharing"",""เชียงใหม่!L381"")+IMPORTRANGE(""https://docs.google.com/spreadsheets/d/1W6MnUbDkMi6xHnHko_XkFDO9kkuL6Wqyc-6OCDFjW9I/e"&amp;"dit?usp=sharing"",""ตาก!L381"")+IMPORTRANGE(""https://docs.google.com/spreadsheets/d/1IQAWArduLkta9LpYo4a_ULsyqdta6-6aDDiwpUnQT6c/edit?usp=sharing"",""นครสวรรค์!L381"")+IMPORTRANGE(""https://docs.google.com/spreadsheets/d/10s13Sk5xrltsiR-Zkbmk5DwIaDIKO8Xl"&amp;"bJAfqyT7Gvg/edit?usp=sharing"",""น่าน!L381"")+IMPORTRANGE(""https://docs.google.com/spreadsheets/d/1uu4nAn4Dbi1XREnLKKotUANlKXa7yCgRcgq8HEzQYW8/edit?usp=sharing"",""พะเยา!L381"")+IMPORTRANGE(""https://docs.google.com/spreadsheets/d/1xfJKIQxVOaPDIICqsflNlL"&amp;"u3JacTDk1FP9RH4phX7mI/edit?usp=sharing"",""พิจิตร!L381"")+IMPORTRANGE(""https://docs.google.com/spreadsheets/d/1JtRfZkJMHtEhI5RdRHxYUG4FIZHqKDpNyIuN7A1Q0_k/edit?usp=sharing"",""พิษณุโลก!L381"")+IMPORTRANGE(""https://docs.google.com/spreadsheets/d/1xlcVZWU"&amp;"Nn6SuWm0c307h32SiGkd9BaeQWlAktfD3KO8/edit?usp=sharing"",""เพชรบูรณ์!L381"")+IMPORTRANGE(""https://docs.google.com/spreadsheets/d/1lOVebEIsI9qjGXl6EX66luk7wiuP2tBaryw-wKvv4e0/edit?usp=sharing"",""แพร่!L381"")+IMPORTRANGE(""https://docs.google.com/spreadshe"&amp;"ets/d/1dQrvX0vEcN7Gu0fnZ0B5S90AeR19zth4XlExFBeExMY/edit?usp=sharing"",""แม่ฮ่องสอน!L381"")+IMPORTRANGE(""https://docs.google.com/spreadsheets/d/1DY4XTNNwjluuxqdfdn6qvOSlMRrZqUtmYcZR0ttFiG4/edit?usp=sharing"",""ลำปาง!L381"")+IMPORTRANGE(""https://docs.goog"&amp;"le.com/spreadsheets/d/1ICwG78r0OFT8biBlxnBF8r7she7gNSzOvJ958PWT09c/edit?usp=sharing"",""ลำพูน!L381"")+IMPORTRANGE(""https://docs.google.com/spreadsheets/d/1B0f2xJpZUC6Z0xXnqKlZtEPzsf6L84eP1r1Q15seqRM/edit?usp=sharing"",""สุโขทัย!L381"")+IMPORTRANGE(""http"&amp;"s://docs.google.com/spreadsheets/d/1v0b9pFQCsKUVExMei7AgY2yQkdeNQvtOssygGsXbiKo/edit?usp=sharing"",""อุตรดิตถ์!L381"")+IMPORTRANGE(""https://docs.google.com/spreadsheets/d/1UsNK1e-WWiCo2PvGqdNfdme4m17_Ezd3J69EeeiQPD0/edit?usp=sharing"",""อุทัยธานี!L381"")"),0)</f>
        <v>0</v>
      </c>
      <c r="M381" s="59">
        <f ca="1">IFERROR(__xludf.DUMMYFUNCTION("IMPORTRANGE(""https://docs.google.com/spreadsheets/d/1jTcq05yEiRwXcBMLjiodW9e4biSGYWAHcDj22rKWQ3s/edit?usp=sharing"",""กำแพงเพชร!M381"")+IMPORTRANGE(""https://docs.google.com/spreadsheets/d/1KS0zmDSZPk8KnTAbGN-Xk6MtX1YRZD0ldgdt20K4CRk/edit?usp=sharing"","&amp;"""เชียงราย!M381"")+IMPORTRANGE(""https://docs.google.com/spreadsheets/d/1rEDxBtusbi64tE0zunoIbsTVV16HeL0oJ6trHQeQ7K8/edit?usp=sharing"",""เชียงใหม่!M381"")+IMPORTRANGE(""https://docs.google.com/spreadsheets/d/1W6MnUbDkMi6xHnHko_XkFDO9kkuL6Wqyc-6OCDFjW9I/e"&amp;"dit?usp=sharing"",""ตาก!M381"")+IMPORTRANGE(""https://docs.google.com/spreadsheets/d/1IQAWArduLkta9LpYo4a_ULsyqdta6-6aDDiwpUnQT6c/edit?usp=sharing"",""นครสวรรค์!M381"")+IMPORTRANGE(""https://docs.google.com/spreadsheets/d/10s13Sk5xrltsiR-Zkbmk5DwIaDIKO8Xl"&amp;"bJAfqyT7Gvg/edit?usp=sharing"",""น่าน!M381"")+IMPORTRANGE(""https://docs.google.com/spreadsheets/d/1uu4nAn4Dbi1XREnLKKotUANlKXa7yCgRcgq8HEzQYW8/edit?usp=sharing"",""พะเยา!M381"")+IMPORTRANGE(""https://docs.google.com/spreadsheets/d/1xfJKIQxVOaPDIICqsflNlL"&amp;"u3JacTDk1FP9RH4phX7mI/edit?usp=sharing"",""พิจิตร!M381"")+IMPORTRANGE(""https://docs.google.com/spreadsheets/d/1JtRfZkJMHtEhI5RdRHxYUG4FIZHqKDpNyIuN7A1Q0_k/edit?usp=sharing"",""พิษณุโลก!M381"")+IMPORTRANGE(""https://docs.google.com/spreadsheets/d/1xlcVZWU"&amp;"Nn6SuWm0c307h32SiGkd9BaeQWlAktfD3KO8/edit?usp=sharing"",""เพชรบูรณ์!M381"")+IMPORTRANGE(""https://docs.google.com/spreadsheets/d/1lOVebEIsI9qjGXl6EX66luk7wiuP2tBaryw-wKvv4e0/edit?usp=sharing"",""แพร่!M381"")+IMPORTRANGE(""https://docs.google.com/spreadshe"&amp;"ets/d/1dQrvX0vEcN7Gu0fnZ0B5S90AeR19zth4XlExFBeExMY/edit?usp=sharing"",""แม่ฮ่องสอน!M381"")+IMPORTRANGE(""https://docs.google.com/spreadsheets/d/1DY4XTNNwjluuxqdfdn6qvOSlMRrZqUtmYcZR0ttFiG4/edit?usp=sharing"",""ลำปาง!M381"")+IMPORTRANGE(""https://docs.goog"&amp;"le.com/spreadsheets/d/1ICwG78r0OFT8biBlxnBF8r7she7gNSzOvJ958PWT09c/edit?usp=sharing"",""ลำพูน!M381"")+IMPORTRANGE(""https://docs.google.com/spreadsheets/d/1B0f2xJpZUC6Z0xXnqKlZtEPzsf6L84eP1r1Q15seqRM/edit?usp=sharing"",""สุโขทัย!M381"")+IMPORTRANGE(""http"&amp;"s://docs.google.com/spreadsheets/d/1v0b9pFQCsKUVExMei7AgY2yQkdeNQvtOssygGsXbiKo/edit?usp=sharing"",""อุตรดิตถ์!M381"")+IMPORTRANGE(""https://docs.google.com/spreadsheets/d/1UsNK1e-WWiCo2PvGqdNfdme4m17_Ezd3J69EeeiQPD0/edit?usp=sharing"",""อุทัยธานี!M381"")"),0)</f>
        <v>0</v>
      </c>
      <c r="N381" s="59">
        <f ca="1">IFERROR(__xludf.DUMMYFUNCTION("IMPORTRANGE(""https://docs.google.com/spreadsheets/d/1jTcq05yEiRwXcBMLjiodW9e4biSGYWAHcDj22rKWQ3s/edit?usp=sharing"",""กำแพงเพชร!N381"")+IMPORTRANGE(""https://docs.google.com/spreadsheets/d/1KS0zmDSZPk8KnTAbGN-Xk6MtX1YRZD0ldgdt20K4CRk/edit?usp=sharing"","&amp;"""เชียงราย!N381"")+IMPORTRANGE(""https://docs.google.com/spreadsheets/d/1rEDxBtusbi64tE0zunoIbsTVV16HeL0oJ6trHQeQ7K8/edit?usp=sharing"",""เชียงใหม่!N381"")+IMPORTRANGE(""https://docs.google.com/spreadsheets/d/1W6MnUbDkMi6xHnHko_XkFDO9kkuL6Wqyc-6OCDFjW9I/e"&amp;"dit?usp=sharing"",""ตาก!N381"")+IMPORTRANGE(""https://docs.google.com/spreadsheets/d/1IQAWArduLkta9LpYo4a_ULsyqdta6-6aDDiwpUnQT6c/edit?usp=sharing"",""นครสวรรค์!N381"")+IMPORTRANGE(""https://docs.google.com/spreadsheets/d/10s13Sk5xrltsiR-Zkbmk5DwIaDIKO8Xl"&amp;"bJAfqyT7Gvg/edit?usp=sharing"",""น่าน!N381"")+IMPORTRANGE(""https://docs.google.com/spreadsheets/d/1uu4nAn4Dbi1XREnLKKotUANlKXa7yCgRcgq8HEzQYW8/edit?usp=sharing"",""พะเยา!N381"")+IMPORTRANGE(""https://docs.google.com/spreadsheets/d/1xfJKIQxVOaPDIICqsflNlL"&amp;"u3JacTDk1FP9RH4phX7mI/edit?usp=sharing"",""พิจิตร!N381"")+IMPORTRANGE(""https://docs.google.com/spreadsheets/d/1JtRfZkJMHtEhI5RdRHxYUG4FIZHqKDpNyIuN7A1Q0_k/edit?usp=sharing"",""พิษณุโลก!N381"")+IMPORTRANGE(""https://docs.google.com/spreadsheets/d/1xlcVZWU"&amp;"Nn6SuWm0c307h32SiGkd9BaeQWlAktfD3KO8/edit?usp=sharing"",""เพชรบูรณ์!N381"")+IMPORTRANGE(""https://docs.google.com/spreadsheets/d/1lOVebEIsI9qjGXl6EX66luk7wiuP2tBaryw-wKvv4e0/edit?usp=sharing"",""แพร่!N381"")+IMPORTRANGE(""https://docs.google.com/spreadshe"&amp;"ets/d/1dQrvX0vEcN7Gu0fnZ0B5S90AeR19zth4XlExFBeExMY/edit?usp=sharing"",""แม่ฮ่องสอน!N381"")+IMPORTRANGE(""https://docs.google.com/spreadsheets/d/1DY4XTNNwjluuxqdfdn6qvOSlMRrZqUtmYcZR0ttFiG4/edit?usp=sharing"",""ลำปาง!N381"")+IMPORTRANGE(""https://docs.goog"&amp;"le.com/spreadsheets/d/1ICwG78r0OFT8biBlxnBF8r7she7gNSzOvJ958PWT09c/edit?usp=sharing"",""ลำพูน!N381"")+IMPORTRANGE(""https://docs.google.com/spreadsheets/d/1B0f2xJpZUC6Z0xXnqKlZtEPzsf6L84eP1r1Q15seqRM/edit?usp=sharing"",""สุโขทัย!N381"")+IMPORTRANGE(""http"&amp;"s://docs.google.com/spreadsheets/d/1v0b9pFQCsKUVExMei7AgY2yQkdeNQvtOssygGsXbiKo/edit?usp=sharing"",""อุตรดิตถ์!N381"")+IMPORTRANGE(""https://docs.google.com/spreadsheets/d/1UsNK1e-WWiCo2PvGqdNfdme4m17_Ezd3J69EeeiQPD0/edit?usp=sharing"",""อุทัยธานี!N381"")"),0)</f>
        <v>0</v>
      </c>
      <c r="O381" s="59">
        <f t="shared" ca="1" si="164"/>
        <v>0</v>
      </c>
      <c r="P381" s="59">
        <f t="shared" ca="1" si="165"/>
        <v>0</v>
      </c>
    </row>
    <row r="382" spans="1:16" ht="18.75" x14ac:dyDescent="0.25">
      <c r="A382" s="157"/>
      <c r="B382" s="53"/>
      <c r="C382" s="53"/>
      <c r="D382" s="53"/>
      <c r="E382" s="60" t="s">
        <v>35</v>
      </c>
      <c r="F382" s="53"/>
      <c r="G382" s="55"/>
      <c r="H382" s="163" t="s">
        <v>12</v>
      </c>
      <c r="I382" s="164"/>
      <c r="J382" s="164"/>
      <c r="K382" s="165"/>
      <c r="L382" s="59">
        <f ca="1">IFERROR(__xludf.DUMMYFUNCTION("IMPORTRANGE(""https://docs.google.com/spreadsheets/d/1jTcq05yEiRwXcBMLjiodW9e4biSGYWAHcDj22rKWQ3s/edit?usp=sharing"",""กำแพงเพชร!L382"")+IMPORTRANGE(""https://docs.google.com/spreadsheets/d/1KS0zmDSZPk8KnTAbGN-Xk6MtX1YRZD0ldgdt20K4CRk/edit?usp=sharing"","&amp;"""เชียงราย!L382"")+IMPORTRANGE(""https://docs.google.com/spreadsheets/d/1rEDxBtusbi64tE0zunoIbsTVV16HeL0oJ6trHQeQ7K8/edit?usp=sharing"",""เชียงใหม่!L382"")+IMPORTRANGE(""https://docs.google.com/spreadsheets/d/1W6MnUbDkMi6xHnHko_XkFDO9kkuL6Wqyc-6OCDFjW9I/e"&amp;"dit?usp=sharing"",""ตาก!L382"")+IMPORTRANGE(""https://docs.google.com/spreadsheets/d/1IQAWArduLkta9LpYo4a_ULsyqdta6-6aDDiwpUnQT6c/edit?usp=sharing"",""นครสวรรค์!L382"")+IMPORTRANGE(""https://docs.google.com/spreadsheets/d/10s13Sk5xrltsiR-Zkbmk5DwIaDIKO8Xl"&amp;"bJAfqyT7Gvg/edit?usp=sharing"",""น่าน!L382"")+IMPORTRANGE(""https://docs.google.com/spreadsheets/d/1uu4nAn4Dbi1XREnLKKotUANlKXa7yCgRcgq8HEzQYW8/edit?usp=sharing"",""พะเยา!L382"")+IMPORTRANGE(""https://docs.google.com/spreadsheets/d/1xfJKIQxVOaPDIICqsflNlL"&amp;"u3JacTDk1FP9RH4phX7mI/edit?usp=sharing"",""พิจิตร!L382"")+IMPORTRANGE(""https://docs.google.com/spreadsheets/d/1JtRfZkJMHtEhI5RdRHxYUG4FIZHqKDpNyIuN7A1Q0_k/edit?usp=sharing"",""พิษณุโลก!L382"")+IMPORTRANGE(""https://docs.google.com/spreadsheets/d/1xlcVZWU"&amp;"Nn6SuWm0c307h32SiGkd9BaeQWlAktfD3KO8/edit?usp=sharing"",""เพชรบูรณ์!L382"")+IMPORTRANGE(""https://docs.google.com/spreadsheets/d/1lOVebEIsI9qjGXl6EX66luk7wiuP2tBaryw-wKvv4e0/edit?usp=sharing"",""แพร่!L382"")+IMPORTRANGE(""https://docs.google.com/spreadshe"&amp;"ets/d/1dQrvX0vEcN7Gu0fnZ0B5S90AeR19zth4XlExFBeExMY/edit?usp=sharing"",""แม่ฮ่องสอน!L382"")+IMPORTRANGE(""https://docs.google.com/spreadsheets/d/1DY4XTNNwjluuxqdfdn6qvOSlMRrZqUtmYcZR0ttFiG4/edit?usp=sharing"",""ลำปาง!L382"")+IMPORTRANGE(""https://docs.goog"&amp;"le.com/spreadsheets/d/1ICwG78r0OFT8biBlxnBF8r7she7gNSzOvJ958PWT09c/edit?usp=sharing"",""ลำพูน!L382"")+IMPORTRANGE(""https://docs.google.com/spreadsheets/d/1B0f2xJpZUC6Z0xXnqKlZtEPzsf6L84eP1r1Q15seqRM/edit?usp=sharing"",""สุโขทัย!L382"")+IMPORTRANGE(""http"&amp;"s://docs.google.com/spreadsheets/d/1v0b9pFQCsKUVExMei7AgY2yQkdeNQvtOssygGsXbiKo/edit?usp=sharing"",""อุตรดิตถ์!L382"")+IMPORTRANGE(""https://docs.google.com/spreadsheets/d/1UsNK1e-WWiCo2PvGqdNfdme4m17_Ezd3J69EeeiQPD0/edit?usp=sharing"",""อุทัยธานี!L382"")"),0)</f>
        <v>0</v>
      </c>
      <c r="M382" s="59">
        <f ca="1">IFERROR(__xludf.DUMMYFUNCTION("IMPORTRANGE(""https://docs.google.com/spreadsheets/d/1jTcq05yEiRwXcBMLjiodW9e4biSGYWAHcDj22rKWQ3s/edit?usp=sharing"",""กำแพงเพชร!M382"")+IMPORTRANGE(""https://docs.google.com/spreadsheets/d/1KS0zmDSZPk8KnTAbGN-Xk6MtX1YRZD0ldgdt20K4CRk/edit?usp=sharing"","&amp;"""เชียงราย!M382"")+IMPORTRANGE(""https://docs.google.com/spreadsheets/d/1rEDxBtusbi64tE0zunoIbsTVV16HeL0oJ6trHQeQ7K8/edit?usp=sharing"",""เชียงใหม่!M382"")+IMPORTRANGE(""https://docs.google.com/spreadsheets/d/1W6MnUbDkMi6xHnHko_XkFDO9kkuL6Wqyc-6OCDFjW9I/e"&amp;"dit?usp=sharing"",""ตาก!M382"")+IMPORTRANGE(""https://docs.google.com/spreadsheets/d/1IQAWArduLkta9LpYo4a_ULsyqdta6-6aDDiwpUnQT6c/edit?usp=sharing"",""นครสวรรค์!M382"")+IMPORTRANGE(""https://docs.google.com/spreadsheets/d/10s13Sk5xrltsiR-Zkbmk5DwIaDIKO8Xl"&amp;"bJAfqyT7Gvg/edit?usp=sharing"",""น่าน!M382"")+IMPORTRANGE(""https://docs.google.com/spreadsheets/d/1uu4nAn4Dbi1XREnLKKotUANlKXa7yCgRcgq8HEzQYW8/edit?usp=sharing"",""พะเยา!M382"")+IMPORTRANGE(""https://docs.google.com/spreadsheets/d/1xfJKIQxVOaPDIICqsflNlL"&amp;"u3JacTDk1FP9RH4phX7mI/edit?usp=sharing"",""พิจิตร!M382"")+IMPORTRANGE(""https://docs.google.com/spreadsheets/d/1JtRfZkJMHtEhI5RdRHxYUG4FIZHqKDpNyIuN7A1Q0_k/edit?usp=sharing"",""พิษณุโลก!M382"")+IMPORTRANGE(""https://docs.google.com/spreadsheets/d/1xlcVZWU"&amp;"Nn6SuWm0c307h32SiGkd9BaeQWlAktfD3KO8/edit?usp=sharing"",""เพชรบูรณ์!M382"")+IMPORTRANGE(""https://docs.google.com/spreadsheets/d/1lOVebEIsI9qjGXl6EX66luk7wiuP2tBaryw-wKvv4e0/edit?usp=sharing"",""แพร่!M382"")+IMPORTRANGE(""https://docs.google.com/spreadshe"&amp;"ets/d/1dQrvX0vEcN7Gu0fnZ0B5S90AeR19zth4XlExFBeExMY/edit?usp=sharing"",""แม่ฮ่องสอน!M382"")+IMPORTRANGE(""https://docs.google.com/spreadsheets/d/1DY4XTNNwjluuxqdfdn6qvOSlMRrZqUtmYcZR0ttFiG4/edit?usp=sharing"",""ลำปาง!M382"")+IMPORTRANGE(""https://docs.goog"&amp;"le.com/spreadsheets/d/1ICwG78r0OFT8biBlxnBF8r7she7gNSzOvJ958PWT09c/edit?usp=sharing"",""ลำพูน!M382"")+IMPORTRANGE(""https://docs.google.com/spreadsheets/d/1B0f2xJpZUC6Z0xXnqKlZtEPzsf6L84eP1r1Q15seqRM/edit?usp=sharing"",""สุโขทัย!M382"")+IMPORTRANGE(""http"&amp;"s://docs.google.com/spreadsheets/d/1v0b9pFQCsKUVExMei7AgY2yQkdeNQvtOssygGsXbiKo/edit?usp=sharing"",""อุตรดิตถ์!M382"")+IMPORTRANGE(""https://docs.google.com/spreadsheets/d/1UsNK1e-WWiCo2PvGqdNfdme4m17_Ezd3J69EeeiQPD0/edit?usp=sharing"",""อุทัยธานี!M382"")"),0)</f>
        <v>0</v>
      </c>
      <c r="N382" s="59">
        <f ca="1">IFERROR(__xludf.DUMMYFUNCTION("IMPORTRANGE(""https://docs.google.com/spreadsheets/d/1jTcq05yEiRwXcBMLjiodW9e4biSGYWAHcDj22rKWQ3s/edit?usp=sharing"",""กำแพงเพชร!N382"")+IMPORTRANGE(""https://docs.google.com/spreadsheets/d/1KS0zmDSZPk8KnTAbGN-Xk6MtX1YRZD0ldgdt20K4CRk/edit?usp=sharing"","&amp;"""เชียงราย!N382"")+IMPORTRANGE(""https://docs.google.com/spreadsheets/d/1rEDxBtusbi64tE0zunoIbsTVV16HeL0oJ6trHQeQ7K8/edit?usp=sharing"",""เชียงใหม่!N382"")+IMPORTRANGE(""https://docs.google.com/spreadsheets/d/1W6MnUbDkMi6xHnHko_XkFDO9kkuL6Wqyc-6OCDFjW9I/e"&amp;"dit?usp=sharing"",""ตาก!N382"")+IMPORTRANGE(""https://docs.google.com/spreadsheets/d/1IQAWArduLkta9LpYo4a_ULsyqdta6-6aDDiwpUnQT6c/edit?usp=sharing"",""นครสวรรค์!N382"")+IMPORTRANGE(""https://docs.google.com/spreadsheets/d/10s13Sk5xrltsiR-Zkbmk5DwIaDIKO8Xl"&amp;"bJAfqyT7Gvg/edit?usp=sharing"",""น่าน!N382"")+IMPORTRANGE(""https://docs.google.com/spreadsheets/d/1uu4nAn4Dbi1XREnLKKotUANlKXa7yCgRcgq8HEzQYW8/edit?usp=sharing"",""พะเยา!N382"")+IMPORTRANGE(""https://docs.google.com/spreadsheets/d/1xfJKIQxVOaPDIICqsflNlL"&amp;"u3JacTDk1FP9RH4phX7mI/edit?usp=sharing"",""พิจิตร!N382"")+IMPORTRANGE(""https://docs.google.com/spreadsheets/d/1JtRfZkJMHtEhI5RdRHxYUG4FIZHqKDpNyIuN7A1Q0_k/edit?usp=sharing"",""พิษณุโลก!N382"")+IMPORTRANGE(""https://docs.google.com/spreadsheets/d/1xlcVZWU"&amp;"Nn6SuWm0c307h32SiGkd9BaeQWlAktfD3KO8/edit?usp=sharing"",""เพชรบูรณ์!N382"")+IMPORTRANGE(""https://docs.google.com/spreadsheets/d/1lOVebEIsI9qjGXl6EX66luk7wiuP2tBaryw-wKvv4e0/edit?usp=sharing"",""แพร่!N382"")+IMPORTRANGE(""https://docs.google.com/spreadshe"&amp;"ets/d/1dQrvX0vEcN7Gu0fnZ0B5S90AeR19zth4XlExFBeExMY/edit?usp=sharing"",""แม่ฮ่องสอน!N382"")+IMPORTRANGE(""https://docs.google.com/spreadsheets/d/1DY4XTNNwjluuxqdfdn6qvOSlMRrZqUtmYcZR0ttFiG4/edit?usp=sharing"",""ลำปาง!N382"")+IMPORTRANGE(""https://docs.goog"&amp;"le.com/spreadsheets/d/1ICwG78r0OFT8biBlxnBF8r7she7gNSzOvJ958PWT09c/edit?usp=sharing"",""ลำพูน!N382"")+IMPORTRANGE(""https://docs.google.com/spreadsheets/d/1B0f2xJpZUC6Z0xXnqKlZtEPzsf6L84eP1r1Q15seqRM/edit?usp=sharing"",""สุโขทัย!N382"")+IMPORTRANGE(""http"&amp;"s://docs.google.com/spreadsheets/d/1v0b9pFQCsKUVExMei7AgY2yQkdeNQvtOssygGsXbiKo/edit?usp=sharing"",""อุตรดิตถ์!N382"")+IMPORTRANGE(""https://docs.google.com/spreadsheets/d/1UsNK1e-WWiCo2PvGqdNfdme4m17_Ezd3J69EeeiQPD0/edit?usp=sharing"",""อุทัยธานี!N382"")"),0)</f>
        <v>0</v>
      </c>
      <c r="O382" s="59">
        <f t="shared" ca="1" si="164"/>
        <v>0</v>
      </c>
      <c r="P382" s="59">
        <f t="shared" ca="1" si="165"/>
        <v>0</v>
      </c>
    </row>
    <row r="383" spans="1:16" ht="18.75" x14ac:dyDescent="0.25">
      <c r="A383" s="157"/>
      <c r="B383" s="53"/>
      <c r="C383" s="53"/>
      <c r="D383" s="54" t="s">
        <v>21</v>
      </c>
      <c r="E383" s="53"/>
      <c r="F383" s="53"/>
      <c r="G383" s="55"/>
      <c r="H383" s="166" t="s">
        <v>12</v>
      </c>
      <c r="I383" s="164"/>
      <c r="J383" s="164"/>
      <c r="K383" s="165"/>
      <c r="L383" s="59">
        <f t="shared" ref="L383:N383" ca="1" si="169">L384+L385</f>
        <v>0</v>
      </c>
      <c r="M383" s="59">
        <f t="shared" ca="1" si="169"/>
        <v>0</v>
      </c>
      <c r="N383" s="59">
        <f t="shared" ca="1" si="169"/>
        <v>0</v>
      </c>
      <c r="O383" s="59">
        <f t="shared" ca="1" si="164"/>
        <v>0</v>
      </c>
      <c r="P383" s="59">
        <f t="shared" ca="1" si="165"/>
        <v>0</v>
      </c>
    </row>
    <row r="384" spans="1:16" ht="18.75" x14ac:dyDescent="0.25">
      <c r="A384" s="157"/>
      <c r="B384" s="53"/>
      <c r="C384" s="53"/>
      <c r="D384" s="53"/>
      <c r="E384" s="60" t="s">
        <v>18</v>
      </c>
      <c r="F384" s="53"/>
      <c r="G384" s="55"/>
      <c r="H384" s="163" t="s">
        <v>12</v>
      </c>
      <c r="I384" s="164"/>
      <c r="J384" s="164"/>
      <c r="K384" s="165"/>
      <c r="L384" s="59">
        <f ca="1">IFERROR(__xludf.DUMMYFUNCTION("IMPORTRANGE(""https://docs.google.com/spreadsheets/d/1jTcq05yEiRwXcBMLjiodW9e4biSGYWAHcDj22rKWQ3s/edit?usp=sharing"",""กำแพงเพชร!L384"")+IMPORTRANGE(""https://docs.google.com/spreadsheets/d/1KS0zmDSZPk8KnTAbGN-Xk6MtX1YRZD0ldgdt20K4CRk/edit?usp=sharing"","&amp;"""เชียงราย!L384"")+IMPORTRANGE(""https://docs.google.com/spreadsheets/d/1rEDxBtusbi64tE0zunoIbsTVV16HeL0oJ6trHQeQ7K8/edit?usp=sharing"",""เชียงใหม่!L384"")+IMPORTRANGE(""https://docs.google.com/spreadsheets/d/1W6MnUbDkMi6xHnHko_XkFDO9kkuL6Wqyc-6OCDFjW9I/e"&amp;"dit?usp=sharing"",""ตาก!L384"")+IMPORTRANGE(""https://docs.google.com/spreadsheets/d/1IQAWArduLkta9LpYo4a_ULsyqdta6-6aDDiwpUnQT6c/edit?usp=sharing"",""นครสวรรค์!L384"")+IMPORTRANGE(""https://docs.google.com/spreadsheets/d/10s13Sk5xrltsiR-Zkbmk5DwIaDIKO8Xl"&amp;"bJAfqyT7Gvg/edit?usp=sharing"",""น่าน!L384"")+IMPORTRANGE(""https://docs.google.com/spreadsheets/d/1uu4nAn4Dbi1XREnLKKotUANlKXa7yCgRcgq8HEzQYW8/edit?usp=sharing"",""พะเยา!L384"")+IMPORTRANGE(""https://docs.google.com/spreadsheets/d/1xfJKIQxVOaPDIICqsflNlL"&amp;"u3JacTDk1FP9RH4phX7mI/edit?usp=sharing"",""พิจิตร!L384"")+IMPORTRANGE(""https://docs.google.com/spreadsheets/d/1JtRfZkJMHtEhI5RdRHxYUG4FIZHqKDpNyIuN7A1Q0_k/edit?usp=sharing"",""พิษณุโลก!L384"")+IMPORTRANGE(""https://docs.google.com/spreadsheets/d/1xlcVZWU"&amp;"Nn6SuWm0c307h32SiGkd9BaeQWlAktfD3KO8/edit?usp=sharing"",""เพชรบูรณ์!L384"")+IMPORTRANGE(""https://docs.google.com/spreadsheets/d/1lOVebEIsI9qjGXl6EX66luk7wiuP2tBaryw-wKvv4e0/edit?usp=sharing"",""แพร่!L384"")+IMPORTRANGE(""https://docs.google.com/spreadshe"&amp;"ets/d/1dQrvX0vEcN7Gu0fnZ0B5S90AeR19zth4XlExFBeExMY/edit?usp=sharing"",""แม่ฮ่องสอน!L384"")+IMPORTRANGE(""https://docs.google.com/spreadsheets/d/1DY4XTNNwjluuxqdfdn6qvOSlMRrZqUtmYcZR0ttFiG4/edit?usp=sharing"",""ลำปาง!L384"")+IMPORTRANGE(""https://docs.goog"&amp;"le.com/spreadsheets/d/1ICwG78r0OFT8biBlxnBF8r7she7gNSzOvJ958PWT09c/edit?usp=sharing"",""ลำพูน!L384"")+IMPORTRANGE(""https://docs.google.com/spreadsheets/d/1B0f2xJpZUC6Z0xXnqKlZtEPzsf6L84eP1r1Q15seqRM/edit?usp=sharing"",""สุโขทัย!L384"")+IMPORTRANGE(""http"&amp;"s://docs.google.com/spreadsheets/d/1v0b9pFQCsKUVExMei7AgY2yQkdeNQvtOssygGsXbiKo/edit?usp=sharing"",""อุตรดิตถ์!L384"")+IMPORTRANGE(""https://docs.google.com/spreadsheets/d/1UsNK1e-WWiCo2PvGqdNfdme4m17_Ezd3J69EeeiQPD0/edit?usp=sharing"",""อุทัยธานี!L384"")"),0)</f>
        <v>0</v>
      </c>
      <c r="M384" s="59">
        <f ca="1">IFERROR(__xludf.DUMMYFUNCTION("IMPORTRANGE(""https://docs.google.com/spreadsheets/d/1jTcq05yEiRwXcBMLjiodW9e4biSGYWAHcDj22rKWQ3s/edit?usp=sharing"",""กำแพงเพชร!M384"")+IMPORTRANGE(""https://docs.google.com/spreadsheets/d/1KS0zmDSZPk8KnTAbGN-Xk6MtX1YRZD0ldgdt20K4CRk/edit?usp=sharing"","&amp;"""เชียงราย!M384"")+IMPORTRANGE(""https://docs.google.com/spreadsheets/d/1rEDxBtusbi64tE0zunoIbsTVV16HeL0oJ6trHQeQ7K8/edit?usp=sharing"",""เชียงใหม่!M384"")+IMPORTRANGE(""https://docs.google.com/spreadsheets/d/1W6MnUbDkMi6xHnHko_XkFDO9kkuL6Wqyc-6OCDFjW9I/e"&amp;"dit?usp=sharing"",""ตาก!M384"")+IMPORTRANGE(""https://docs.google.com/spreadsheets/d/1IQAWArduLkta9LpYo4a_ULsyqdta6-6aDDiwpUnQT6c/edit?usp=sharing"",""นครสวรรค์!M384"")+IMPORTRANGE(""https://docs.google.com/spreadsheets/d/10s13Sk5xrltsiR-Zkbmk5DwIaDIKO8Xl"&amp;"bJAfqyT7Gvg/edit?usp=sharing"",""น่าน!M384"")+IMPORTRANGE(""https://docs.google.com/spreadsheets/d/1uu4nAn4Dbi1XREnLKKotUANlKXa7yCgRcgq8HEzQYW8/edit?usp=sharing"",""พะเยา!M384"")+IMPORTRANGE(""https://docs.google.com/spreadsheets/d/1xfJKIQxVOaPDIICqsflNlL"&amp;"u3JacTDk1FP9RH4phX7mI/edit?usp=sharing"",""พิจิตร!M384"")+IMPORTRANGE(""https://docs.google.com/spreadsheets/d/1JtRfZkJMHtEhI5RdRHxYUG4FIZHqKDpNyIuN7A1Q0_k/edit?usp=sharing"",""พิษณุโลก!M384"")+IMPORTRANGE(""https://docs.google.com/spreadsheets/d/1xlcVZWU"&amp;"Nn6SuWm0c307h32SiGkd9BaeQWlAktfD3KO8/edit?usp=sharing"",""เพชรบูรณ์!M384"")+IMPORTRANGE(""https://docs.google.com/spreadsheets/d/1lOVebEIsI9qjGXl6EX66luk7wiuP2tBaryw-wKvv4e0/edit?usp=sharing"",""แพร่!M384"")+IMPORTRANGE(""https://docs.google.com/spreadshe"&amp;"ets/d/1dQrvX0vEcN7Gu0fnZ0B5S90AeR19zth4XlExFBeExMY/edit?usp=sharing"",""แม่ฮ่องสอน!M384"")+IMPORTRANGE(""https://docs.google.com/spreadsheets/d/1DY4XTNNwjluuxqdfdn6qvOSlMRrZqUtmYcZR0ttFiG4/edit?usp=sharing"",""ลำปาง!M384"")+IMPORTRANGE(""https://docs.goog"&amp;"le.com/spreadsheets/d/1ICwG78r0OFT8biBlxnBF8r7she7gNSzOvJ958PWT09c/edit?usp=sharing"",""ลำพูน!M384"")+IMPORTRANGE(""https://docs.google.com/spreadsheets/d/1B0f2xJpZUC6Z0xXnqKlZtEPzsf6L84eP1r1Q15seqRM/edit?usp=sharing"",""สุโขทัย!M384"")+IMPORTRANGE(""http"&amp;"s://docs.google.com/spreadsheets/d/1v0b9pFQCsKUVExMei7AgY2yQkdeNQvtOssygGsXbiKo/edit?usp=sharing"",""อุตรดิตถ์!M384"")+IMPORTRANGE(""https://docs.google.com/spreadsheets/d/1UsNK1e-WWiCo2PvGqdNfdme4m17_Ezd3J69EeeiQPD0/edit?usp=sharing"",""อุทัยธานี!M384"")"),0)</f>
        <v>0</v>
      </c>
      <c r="N384" s="59">
        <f ca="1">IFERROR(__xludf.DUMMYFUNCTION("IMPORTRANGE(""https://docs.google.com/spreadsheets/d/1jTcq05yEiRwXcBMLjiodW9e4biSGYWAHcDj22rKWQ3s/edit?usp=sharing"",""กำแพงเพชร!N384"")+IMPORTRANGE(""https://docs.google.com/spreadsheets/d/1KS0zmDSZPk8KnTAbGN-Xk6MtX1YRZD0ldgdt20K4CRk/edit?usp=sharing"","&amp;"""เชียงราย!N384"")+IMPORTRANGE(""https://docs.google.com/spreadsheets/d/1rEDxBtusbi64tE0zunoIbsTVV16HeL0oJ6trHQeQ7K8/edit?usp=sharing"",""เชียงใหม่!N384"")+IMPORTRANGE(""https://docs.google.com/spreadsheets/d/1W6MnUbDkMi6xHnHko_XkFDO9kkuL6Wqyc-6OCDFjW9I/e"&amp;"dit?usp=sharing"",""ตาก!N384"")+IMPORTRANGE(""https://docs.google.com/spreadsheets/d/1IQAWArduLkta9LpYo4a_ULsyqdta6-6aDDiwpUnQT6c/edit?usp=sharing"",""นครสวรรค์!N384"")+IMPORTRANGE(""https://docs.google.com/spreadsheets/d/10s13Sk5xrltsiR-Zkbmk5DwIaDIKO8Xl"&amp;"bJAfqyT7Gvg/edit?usp=sharing"",""น่าน!N384"")+IMPORTRANGE(""https://docs.google.com/spreadsheets/d/1uu4nAn4Dbi1XREnLKKotUANlKXa7yCgRcgq8HEzQYW8/edit?usp=sharing"",""พะเยา!N384"")+IMPORTRANGE(""https://docs.google.com/spreadsheets/d/1xfJKIQxVOaPDIICqsflNlL"&amp;"u3JacTDk1FP9RH4phX7mI/edit?usp=sharing"",""พิจิตร!N384"")+IMPORTRANGE(""https://docs.google.com/spreadsheets/d/1JtRfZkJMHtEhI5RdRHxYUG4FIZHqKDpNyIuN7A1Q0_k/edit?usp=sharing"",""พิษณุโลก!N384"")+IMPORTRANGE(""https://docs.google.com/spreadsheets/d/1xlcVZWU"&amp;"Nn6SuWm0c307h32SiGkd9BaeQWlAktfD3KO8/edit?usp=sharing"",""เพชรบูรณ์!N384"")+IMPORTRANGE(""https://docs.google.com/spreadsheets/d/1lOVebEIsI9qjGXl6EX66luk7wiuP2tBaryw-wKvv4e0/edit?usp=sharing"",""แพร่!N384"")+IMPORTRANGE(""https://docs.google.com/spreadshe"&amp;"ets/d/1dQrvX0vEcN7Gu0fnZ0B5S90AeR19zth4XlExFBeExMY/edit?usp=sharing"",""แม่ฮ่องสอน!N384"")+IMPORTRANGE(""https://docs.google.com/spreadsheets/d/1DY4XTNNwjluuxqdfdn6qvOSlMRrZqUtmYcZR0ttFiG4/edit?usp=sharing"",""ลำปาง!N384"")+IMPORTRANGE(""https://docs.goog"&amp;"le.com/spreadsheets/d/1ICwG78r0OFT8biBlxnBF8r7she7gNSzOvJ958PWT09c/edit?usp=sharing"",""ลำพูน!N384"")+IMPORTRANGE(""https://docs.google.com/spreadsheets/d/1B0f2xJpZUC6Z0xXnqKlZtEPzsf6L84eP1r1Q15seqRM/edit?usp=sharing"",""สุโขทัย!N384"")+IMPORTRANGE(""http"&amp;"s://docs.google.com/spreadsheets/d/1v0b9pFQCsKUVExMei7AgY2yQkdeNQvtOssygGsXbiKo/edit?usp=sharing"",""อุตรดิตถ์!N384"")+IMPORTRANGE(""https://docs.google.com/spreadsheets/d/1UsNK1e-WWiCo2PvGqdNfdme4m17_Ezd3J69EeeiQPD0/edit?usp=sharing"",""อุทัยธานี!N384"")"),0)</f>
        <v>0</v>
      </c>
      <c r="O384" s="59">
        <f t="shared" ca="1" si="164"/>
        <v>0</v>
      </c>
      <c r="P384" s="59">
        <f t="shared" ca="1" si="165"/>
        <v>0</v>
      </c>
    </row>
    <row r="385" spans="1:16" ht="18.75" x14ac:dyDescent="0.25">
      <c r="A385" s="157"/>
      <c r="B385" s="53"/>
      <c r="C385" s="53"/>
      <c r="D385" s="53"/>
      <c r="E385" s="60" t="s">
        <v>19</v>
      </c>
      <c r="F385" s="53"/>
      <c r="G385" s="55"/>
      <c r="H385" s="166" t="s">
        <v>12</v>
      </c>
      <c r="I385" s="164"/>
      <c r="J385" s="164"/>
      <c r="K385" s="165"/>
      <c r="L385" s="59">
        <f ca="1">IFERROR(__xludf.DUMMYFUNCTION("IMPORTRANGE(""https://docs.google.com/spreadsheets/d/1jTcq05yEiRwXcBMLjiodW9e4biSGYWAHcDj22rKWQ3s/edit?usp=sharing"",""กำแพงเพชร!L385"")+IMPORTRANGE(""https://docs.google.com/spreadsheets/d/1KS0zmDSZPk8KnTAbGN-Xk6MtX1YRZD0ldgdt20K4CRk/edit?usp=sharing"","&amp;"""เชียงราย!L385"")+IMPORTRANGE(""https://docs.google.com/spreadsheets/d/1rEDxBtusbi64tE0zunoIbsTVV16HeL0oJ6trHQeQ7K8/edit?usp=sharing"",""เชียงใหม่!L385"")+IMPORTRANGE(""https://docs.google.com/spreadsheets/d/1W6MnUbDkMi6xHnHko_XkFDO9kkuL6Wqyc-6OCDFjW9I/e"&amp;"dit?usp=sharing"",""ตาก!L385"")+IMPORTRANGE(""https://docs.google.com/spreadsheets/d/1IQAWArduLkta9LpYo4a_ULsyqdta6-6aDDiwpUnQT6c/edit?usp=sharing"",""นครสวรรค์!L385"")+IMPORTRANGE(""https://docs.google.com/spreadsheets/d/10s13Sk5xrltsiR-Zkbmk5DwIaDIKO8Xl"&amp;"bJAfqyT7Gvg/edit?usp=sharing"",""น่าน!L385"")+IMPORTRANGE(""https://docs.google.com/spreadsheets/d/1uu4nAn4Dbi1XREnLKKotUANlKXa7yCgRcgq8HEzQYW8/edit?usp=sharing"",""พะเยา!L385"")+IMPORTRANGE(""https://docs.google.com/spreadsheets/d/1xfJKIQxVOaPDIICqsflNlL"&amp;"u3JacTDk1FP9RH4phX7mI/edit?usp=sharing"",""พิจิตร!L385"")+IMPORTRANGE(""https://docs.google.com/spreadsheets/d/1JtRfZkJMHtEhI5RdRHxYUG4FIZHqKDpNyIuN7A1Q0_k/edit?usp=sharing"",""พิษณุโลก!L385"")+IMPORTRANGE(""https://docs.google.com/spreadsheets/d/1xlcVZWU"&amp;"Nn6SuWm0c307h32SiGkd9BaeQWlAktfD3KO8/edit?usp=sharing"",""เพชรบูรณ์!L385"")+IMPORTRANGE(""https://docs.google.com/spreadsheets/d/1lOVebEIsI9qjGXl6EX66luk7wiuP2tBaryw-wKvv4e0/edit?usp=sharing"",""แพร่!L385"")+IMPORTRANGE(""https://docs.google.com/spreadshe"&amp;"ets/d/1dQrvX0vEcN7Gu0fnZ0B5S90AeR19zth4XlExFBeExMY/edit?usp=sharing"",""แม่ฮ่องสอน!L385"")+IMPORTRANGE(""https://docs.google.com/spreadsheets/d/1DY4XTNNwjluuxqdfdn6qvOSlMRrZqUtmYcZR0ttFiG4/edit?usp=sharing"",""ลำปาง!L385"")+IMPORTRANGE(""https://docs.goog"&amp;"le.com/spreadsheets/d/1ICwG78r0OFT8biBlxnBF8r7she7gNSzOvJ958PWT09c/edit?usp=sharing"",""ลำพูน!L385"")+IMPORTRANGE(""https://docs.google.com/spreadsheets/d/1B0f2xJpZUC6Z0xXnqKlZtEPzsf6L84eP1r1Q15seqRM/edit?usp=sharing"",""สุโขทัย!L385"")+IMPORTRANGE(""http"&amp;"s://docs.google.com/spreadsheets/d/1v0b9pFQCsKUVExMei7AgY2yQkdeNQvtOssygGsXbiKo/edit?usp=sharing"",""อุตรดิตถ์!L385"")+IMPORTRANGE(""https://docs.google.com/spreadsheets/d/1UsNK1e-WWiCo2PvGqdNfdme4m17_Ezd3J69EeeiQPD0/edit?usp=sharing"",""อุทัยธานี!L385"")"),0)</f>
        <v>0</v>
      </c>
      <c r="M385" s="59">
        <f ca="1">IFERROR(__xludf.DUMMYFUNCTION("IMPORTRANGE(""https://docs.google.com/spreadsheets/d/1jTcq05yEiRwXcBMLjiodW9e4biSGYWAHcDj22rKWQ3s/edit?usp=sharing"",""กำแพงเพชร!M385"")+IMPORTRANGE(""https://docs.google.com/spreadsheets/d/1KS0zmDSZPk8KnTAbGN-Xk6MtX1YRZD0ldgdt20K4CRk/edit?usp=sharing"","&amp;"""เชียงราย!M385"")+IMPORTRANGE(""https://docs.google.com/spreadsheets/d/1rEDxBtusbi64tE0zunoIbsTVV16HeL0oJ6trHQeQ7K8/edit?usp=sharing"",""เชียงใหม่!M385"")+IMPORTRANGE(""https://docs.google.com/spreadsheets/d/1W6MnUbDkMi6xHnHko_XkFDO9kkuL6Wqyc-6OCDFjW9I/e"&amp;"dit?usp=sharing"",""ตาก!M385"")+IMPORTRANGE(""https://docs.google.com/spreadsheets/d/1IQAWArduLkta9LpYo4a_ULsyqdta6-6aDDiwpUnQT6c/edit?usp=sharing"",""นครสวรรค์!M385"")+IMPORTRANGE(""https://docs.google.com/spreadsheets/d/10s13Sk5xrltsiR-Zkbmk5DwIaDIKO8Xl"&amp;"bJAfqyT7Gvg/edit?usp=sharing"",""น่าน!M385"")+IMPORTRANGE(""https://docs.google.com/spreadsheets/d/1uu4nAn4Dbi1XREnLKKotUANlKXa7yCgRcgq8HEzQYW8/edit?usp=sharing"",""พะเยา!M385"")+IMPORTRANGE(""https://docs.google.com/spreadsheets/d/1xfJKIQxVOaPDIICqsflNlL"&amp;"u3JacTDk1FP9RH4phX7mI/edit?usp=sharing"",""พิจิตร!M385"")+IMPORTRANGE(""https://docs.google.com/spreadsheets/d/1JtRfZkJMHtEhI5RdRHxYUG4FIZHqKDpNyIuN7A1Q0_k/edit?usp=sharing"",""พิษณุโลก!M385"")+IMPORTRANGE(""https://docs.google.com/spreadsheets/d/1xlcVZWU"&amp;"Nn6SuWm0c307h32SiGkd9BaeQWlAktfD3KO8/edit?usp=sharing"",""เพชรบูรณ์!M385"")+IMPORTRANGE(""https://docs.google.com/spreadsheets/d/1lOVebEIsI9qjGXl6EX66luk7wiuP2tBaryw-wKvv4e0/edit?usp=sharing"",""แพร่!M385"")+IMPORTRANGE(""https://docs.google.com/spreadshe"&amp;"ets/d/1dQrvX0vEcN7Gu0fnZ0B5S90AeR19zth4XlExFBeExMY/edit?usp=sharing"",""แม่ฮ่องสอน!M385"")+IMPORTRANGE(""https://docs.google.com/spreadsheets/d/1DY4XTNNwjluuxqdfdn6qvOSlMRrZqUtmYcZR0ttFiG4/edit?usp=sharing"",""ลำปาง!M385"")+IMPORTRANGE(""https://docs.goog"&amp;"le.com/spreadsheets/d/1ICwG78r0OFT8biBlxnBF8r7she7gNSzOvJ958PWT09c/edit?usp=sharing"",""ลำพูน!M385"")+IMPORTRANGE(""https://docs.google.com/spreadsheets/d/1B0f2xJpZUC6Z0xXnqKlZtEPzsf6L84eP1r1Q15seqRM/edit?usp=sharing"",""สุโขทัย!M385"")+IMPORTRANGE(""http"&amp;"s://docs.google.com/spreadsheets/d/1v0b9pFQCsKUVExMei7AgY2yQkdeNQvtOssygGsXbiKo/edit?usp=sharing"",""อุตรดิตถ์!M385"")+IMPORTRANGE(""https://docs.google.com/spreadsheets/d/1UsNK1e-WWiCo2PvGqdNfdme4m17_Ezd3J69EeeiQPD0/edit?usp=sharing"",""อุทัยธานี!M385"")"),0)</f>
        <v>0</v>
      </c>
      <c r="N385" s="59">
        <f ca="1">IFERROR(__xludf.DUMMYFUNCTION("IMPORTRANGE(""https://docs.google.com/spreadsheets/d/1jTcq05yEiRwXcBMLjiodW9e4biSGYWAHcDj22rKWQ3s/edit?usp=sharing"",""กำแพงเพชร!N385"")+IMPORTRANGE(""https://docs.google.com/spreadsheets/d/1KS0zmDSZPk8KnTAbGN-Xk6MtX1YRZD0ldgdt20K4CRk/edit?usp=sharing"","&amp;"""เชียงราย!N385"")+IMPORTRANGE(""https://docs.google.com/spreadsheets/d/1rEDxBtusbi64tE0zunoIbsTVV16HeL0oJ6trHQeQ7K8/edit?usp=sharing"",""เชียงใหม่!N385"")+IMPORTRANGE(""https://docs.google.com/spreadsheets/d/1W6MnUbDkMi6xHnHko_XkFDO9kkuL6Wqyc-6OCDFjW9I/e"&amp;"dit?usp=sharing"",""ตาก!N385"")+IMPORTRANGE(""https://docs.google.com/spreadsheets/d/1IQAWArduLkta9LpYo4a_ULsyqdta6-6aDDiwpUnQT6c/edit?usp=sharing"",""นครสวรรค์!N385"")+IMPORTRANGE(""https://docs.google.com/spreadsheets/d/10s13Sk5xrltsiR-Zkbmk5DwIaDIKO8Xl"&amp;"bJAfqyT7Gvg/edit?usp=sharing"",""น่าน!N385"")+IMPORTRANGE(""https://docs.google.com/spreadsheets/d/1uu4nAn4Dbi1XREnLKKotUANlKXa7yCgRcgq8HEzQYW8/edit?usp=sharing"",""พะเยา!N385"")+IMPORTRANGE(""https://docs.google.com/spreadsheets/d/1xfJKIQxVOaPDIICqsflNlL"&amp;"u3JacTDk1FP9RH4phX7mI/edit?usp=sharing"",""พิจิตร!N385"")+IMPORTRANGE(""https://docs.google.com/spreadsheets/d/1JtRfZkJMHtEhI5RdRHxYUG4FIZHqKDpNyIuN7A1Q0_k/edit?usp=sharing"",""พิษณุโลก!N385"")+IMPORTRANGE(""https://docs.google.com/spreadsheets/d/1xlcVZWU"&amp;"Nn6SuWm0c307h32SiGkd9BaeQWlAktfD3KO8/edit?usp=sharing"",""เพชรบูรณ์!N385"")+IMPORTRANGE(""https://docs.google.com/spreadsheets/d/1lOVebEIsI9qjGXl6EX66luk7wiuP2tBaryw-wKvv4e0/edit?usp=sharing"",""แพร่!N385"")+IMPORTRANGE(""https://docs.google.com/spreadshe"&amp;"ets/d/1dQrvX0vEcN7Gu0fnZ0B5S90AeR19zth4XlExFBeExMY/edit?usp=sharing"",""แม่ฮ่องสอน!N385"")+IMPORTRANGE(""https://docs.google.com/spreadsheets/d/1DY4XTNNwjluuxqdfdn6qvOSlMRrZqUtmYcZR0ttFiG4/edit?usp=sharing"",""ลำปาง!N385"")+IMPORTRANGE(""https://docs.goog"&amp;"le.com/spreadsheets/d/1ICwG78r0OFT8biBlxnBF8r7she7gNSzOvJ958PWT09c/edit?usp=sharing"",""ลำพูน!N385"")+IMPORTRANGE(""https://docs.google.com/spreadsheets/d/1B0f2xJpZUC6Z0xXnqKlZtEPzsf6L84eP1r1Q15seqRM/edit?usp=sharing"",""สุโขทัย!N385"")+IMPORTRANGE(""http"&amp;"s://docs.google.com/spreadsheets/d/1v0b9pFQCsKUVExMei7AgY2yQkdeNQvtOssygGsXbiKo/edit?usp=sharing"",""อุตรดิตถ์!N385"")+IMPORTRANGE(""https://docs.google.com/spreadsheets/d/1UsNK1e-WWiCo2PvGqdNfdme4m17_Ezd3J69EeeiQPD0/edit?usp=sharing"",""อุทัยธานี!N385"")"),0)</f>
        <v>0</v>
      </c>
      <c r="O385" s="59">
        <f t="shared" ca="1" si="164"/>
        <v>0</v>
      </c>
      <c r="P385" s="59">
        <f t="shared" ca="1" si="165"/>
        <v>0</v>
      </c>
    </row>
    <row r="386" spans="1:16" ht="19.5" x14ac:dyDescent="0.3">
      <c r="A386" s="167"/>
      <c r="B386" s="168"/>
      <c r="C386" s="158" t="s">
        <v>16</v>
      </c>
      <c r="D386" s="169" t="s">
        <v>36</v>
      </c>
      <c r="E386" s="170"/>
      <c r="F386" s="170"/>
      <c r="G386" s="171"/>
      <c r="H386" s="172"/>
      <c r="I386" s="164"/>
      <c r="J386" s="57"/>
      <c r="K386" s="58"/>
      <c r="L386" s="58"/>
      <c r="M386" s="58"/>
      <c r="N386" s="58"/>
      <c r="O386" s="165"/>
      <c r="P386" s="165"/>
    </row>
    <row r="387" spans="1:16" ht="18.75" x14ac:dyDescent="0.25">
      <c r="A387" s="274"/>
      <c r="B387" s="53"/>
      <c r="C387" s="278"/>
      <c r="D387" s="193" t="s">
        <v>149</v>
      </c>
      <c r="E387" s="168"/>
      <c r="F387" s="53"/>
      <c r="G387" s="55"/>
      <c r="H387" s="277" t="s">
        <v>9</v>
      </c>
      <c r="I387" s="194">
        <v>0</v>
      </c>
      <c r="J387" s="194">
        <v>0</v>
      </c>
      <c r="K387" s="59">
        <f t="shared" ref="K387:K388" si="170">IF(I387&gt;0,J387*100/I387,0)</f>
        <v>0</v>
      </c>
      <c r="L387" s="58"/>
      <c r="M387" s="58"/>
      <c r="N387" s="58"/>
      <c r="O387" s="58"/>
      <c r="P387" s="58"/>
    </row>
    <row r="388" spans="1:16" ht="18.75" x14ac:dyDescent="0.25">
      <c r="A388" s="479"/>
      <c r="B388" s="71"/>
      <c r="C388" s="480"/>
      <c r="D388" s="481" t="s">
        <v>150</v>
      </c>
      <c r="E388" s="482"/>
      <c r="F388" s="71"/>
      <c r="G388" s="73"/>
      <c r="H388" s="483" t="s">
        <v>54</v>
      </c>
      <c r="I388" s="484">
        <v>0</v>
      </c>
      <c r="J388" s="484">
        <v>0</v>
      </c>
      <c r="K388" s="77">
        <f t="shared" si="170"/>
        <v>0</v>
      </c>
      <c r="L388" s="76"/>
      <c r="M388" s="76"/>
      <c r="N388" s="76"/>
      <c r="O388" s="76"/>
      <c r="P388" s="76"/>
    </row>
    <row r="389" spans="1:16" ht="12.75" x14ac:dyDescent="0.2">
      <c r="A389" s="485"/>
      <c r="B389" s="485"/>
      <c r="C389" s="485"/>
      <c r="D389" s="485"/>
      <c r="E389" s="485"/>
      <c r="F389" s="485"/>
      <c r="G389" s="485"/>
      <c r="H389" s="485"/>
      <c r="I389" s="485"/>
      <c r="J389" s="485"/>
      <c r="K389" s="485"/>
      <c r="L389" s="485"/>
      <c r="M389" s="485"/>
      <c r="N389" s="485"/>
      <c r="O389" s="485"/>
      <c r="P389" s="485"/>
    </row>
    <row r="390" spans="1:16" ht="16.5" x14ac:dyDescent="0.25">
      <c r="A390" s="486" t="s">
        <v>151</v>
      </c>
      <c r="B390" s="485"/>
      <c r="C390" s="485"/>
      <c r="D390" s="485"/>
      <c r="E390" s="485"/>
      <c r="F390" s="485"/>
      <c r="G390" s="485"/>
      <c r="H390" s="485"/>
      <c r="I390" s="485"/>
      <c r="J390" s="485"/>
      <c r="K390" s="485"/>
      <c r="L390" s="485"/>
      <c r="M390" s="485"/>
      <c r="N390" s="485"/>
      <c r="O390" s="485"/>
      <c r="P390" s="485"/>
    </row>
    <row r="391" spans="1:16" ht="16.5" x14ac:dyDescent="0.25">
      <c r="A391" s="48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485"/>
      <c r="C391" s="485"/>
      <c r="D391" s="485"/>
      <c r="E391" s="485"/>
      <c r="F391" s="485"/>
      <c r="G391" s="485"/>
      <c r="H391" s="485"/>
      <c r="I391" s="485"/>
      <c r="J391" s="485"/>
      <c r="K391" s="485"/>
      <c r="L391" s="485"/>
      <c r="M391" s="485"/>
      <c r="N391" s="485"/>
      <c r="O391" s="485"/>
      <c r="P391" s="485"/>
    </row>
    <row r="392" spans="1:16" ht="12.75" x14ac:dyDescent="0.2">
      <c r="A392" s="485"/>
      <c r="B392" s="485"/>
      <c r="C392" s="485"/>
      <c r="D392" s="485"/>
      <c r="E392" s="485"/>
      <c r="F392" s="485"/>
      <c r="G392" s="485"/>
      <c r="H392" s="485"/>
      <c r="I392" s="485"/>
      <c r="J392" s="485"/>
      <c r="K392" s="485"/>
      <c r="L392" s="485"/>
      <c r="M392" s="485"/>
      <c r="N392" s="485"/>
      <c r="O392" s="485"/>
      <c r="P392" s="485"/>
    </row>
    <row r="393" spans="1:16" ht="12.75" x14ac:dyDescent="0.2">
      <c r="A393" s="485"/>
      <c r="B393" s="485"/>
      <c r="C393" s="485"/>
      <c r="D393" s="485"/>
      <c r="E393" s="485"/>
      <c r="F393" s="485"/>
      <c r="G393" s="485"/>
      <c r="H393" s="485"/>
      <c r="I393" s="485"/>
      <c r="J393" s="485"/>
      <c r="K393" s="485"/>
      <c r="L393" s="485"/>
      <c r="M393" s="485"/>
      <c r="N393" s="485"/>
      <c r="O393" s="485"/>
      <c r="P393" s="485"/>
    </row>
    <row r="394" spans="1:16" ht="12.75" x14ac:dyDescent="0.2">
      <c r="A394" s="485"/>
      <c r="B394" s="485"/>
      <c r="C394" s="485"/>
      <c r="D394" s="485"/>
      <c r="E394" s="485"/>
      <c r="F394" s="485"/>
      <c r="G394" s="485"/>
      <c r="H394" s="485"/>
      <c r="I394" s="485"/>
      <c r="J394" s="485"/>
      <c r="K394" s="485"/>
      <c r="L394" s="485"/>
      <c r="M394" s="485"/>
      <c r="N394" s="485"/>
      <c r="O394" s="485"/>
      <c r="P394" s="485"/>
    </row>
    <row r="395" spans="1:16" ht="12.75" x14ac:dyDescent="0.2">
      <c r="A395" s="485"/>
      <c r="B395" s="485"/>
      <c r="C395" s="485"/>
      <c r="D395" s="485"/>
      <c r="E395" s="485"/>
      <c r="F395" s="485"/>
      <c r="G395" s="485"/>
      <c r="H395" s="485"/>
      <c r="I395" s="485"/>
      <c r="J395" s="485"/>
      <c r="K395" s="485"/>
      <c r="L395" s="485"/>
      <c r="M395" s="485"/>
      <c r="N395" s="485"/>
      <c r="O395" s="485"/>
      <c r="P395" s="485"/>
    </row>
    <row r="396" spans="1:16" ht="12.75" x14ac:dyDescent="0.2">
      <c r="A396" s="485"/>
      <c r="B396" s="485"/>
      <c r="C396" s="485"/>
      <c r="D396" s="485"/>
      <c r="E396" s="485"/>
      <c r="F396" s="485"/>
      <c r="G396" s="485"/>
      <c r="H396" s="485"/>
      <c r="I396" s="485"/>
      <c r="J396" s="485"/>
      <c r="K396" s="485"/>
      <c r="L396" s="485"/>
      <c r="M396" s="485"/>
      <c r="N396" s="485"/>
      <c r="O396" s="485"/>
      <c r="P396" s="485"/>
    </row>
    <row r="397" spans="1:16" ht="12.75" x14ac:dyDescent="0.2">
      <c r="A397" s="485"/>
      <c r="B397" s="485"/>
      <c r="C397" s="485"/>
      <c r="D397" s="485"/>
      <c r="E397" s="485"/>
      <c r="F397" s="485"/>
      <c r="G397" s="485"/>
      <c r="H397" s="485"/>
      <c r="I397" s="485"/>
      <c r="J397" s="485"/>
      <c r="K397" s="485"/>
      <c r="L397" s="485"/>
      <c r="M397" s="485"/>
      <c r="N397" s="485"/>
      <c r="O397" s="485"/>
      <c r="P397" s="485"/>
    </row>
    <row r="398" spans="1:16" ht="12.75" x14ac:dyDescent="0.2">
      <c r="A398" s="485"/>
      <c r="B398" s="485"/>
      <c r="C398" s="485"/>
      <c r="D398" s="485"/>
      <c r="E398" s="485"/>
      <c r="F398" s="485"/>
      <c r="G398" s="485"/>
      <c r="H398" s="485"/>
      <c r="I398" s="485"/>
      <c r="J398" s="485"/>
      <c r="K398" s="485"/>
      <c r="L398" s="485"/>
      <c r="M398" s="485"/>
      <c r="N398" s="485"/>
      <c r="O398" s="485"/>
      <c r="P398" s="485"/>
    </row>
    <row r="399" spans="1:16" ht="12.75" x14ac:dyDescent="0.2">
      <c r="A399" s="485"/>
      <c r="B399" s="485"/>
      <c r="C399" s="485"/>
      <c r="D399" s="485"/>
      <c r="E399" s="485"/>
      <c r="F399" s="485"/>
      <c r="G399" s="485"/>
      <c r="H399" s="485"/>
      <c r="I399" s="485"/>
      <c r="J399" s="485"/>
      <c r="K399" s="485"/>
      <c r="L399" s="485"/>
      <c r="M399" s="485"/>
      <c r="N399" s="485"/>
      <c r="O399" s="485"/>
      <c r="P399" s="485"/>
    </row>
    <row r="400" spans="1:16" ht="12.75" x14ac:dyDescent="0.2">
      <c r="A400" s="485"/>
      <c r="B400" s="485"/>
      <c r="C400" s="485"/>
      <c r="D400" s="485"/>
      <c r="E400" s="485"/>
      <c r="F400" s="485"/>
      <c r="G400" s="485"/>
      <c r="H400" s="485"/>
      <c r="I400" s="485"/>
      <c r="J400" s="485"/>
      <c r="K400" s="485"/>
      <c r="L400" s="485"/>
      <c r="M400" s="485"/>
      <c r="N400" s="485"/>
      <c r="O400" s="485"/>
      <c r="P400" s="485"/>
    </row>
    <row r="401" spans="1:16" ht="12.75" x14ac:dyDescent="0.2">
      <c r="A401" s="485"/>
      <c r="B401" s="485"/>
      <c r="C401" s="485"/>
      <c r="D401" s="485"/>
      <c r="E401" s="485"/>
      <c r="F401" s="485"/>
      <c r="G401" s="485"/>
      <c r="H401" s="485"/>
      <c r="I401" s="485"/>
      <c r="J401" s="485"/>
      <c r="K401" s="485"/>
      <c r="L401" s="485"/>
      <c r="M401" s="485"/>
      <c r="N401" s="485"/>
      <c r="O401" s="485"/>
      <c r="P401" s="485"/>
    </row>
    <row r="402" spans="1:16" ht="12.75" x14ac:dyDescent="0.2">
      <c r="A402" s="485"/>
      <c r="B402" s="485"/>
      <c r="C402" s="485"/>
      <c r="D402" s="485"/>
      <c r="E402" s="485"/>
      <c r="F402" s="485"/>
      <c r="G402" s="485"/>
      <c r="H402" s="485"/>
      <c r="I402" s="485"/>
      <c r="J402" s="485"/>
      <c r="K402" s="485"/>
      <c r="L402" s="485"/>
      <c r="M402" s="485"/>
      <c r="N402" s="485"/>
      <c r="O402" s="485"/>
      <c r="P402" s="485"/>
    </row>
    <row r="403" spans="1:16" ht="12.75" x14ac:dyDescent="0.2">
      <c r="A403" s="485"/>
      <c r="B403" s="485"/>
      <c r="C403" s="485"/>
      <c r="D403" s="485"/>
      <c r="E403" s="485"/>
      <c r="F403" s="485"/>
      <c r="G403" s="485"/>
      <c r="H403" s="485"/>
      <c r="I403" s="485"/>
      <c r="J403" s="485"/>
      <c r="K403" s="485"/>
      <c r="L403" s="485"/>
      <c r="M403" s="485"/>
      <c r="N403" s="485"/>
      <c r="O403" s="485"/>
      <c r="P403" s="485"/>
    </row>
    <row r="404" spans="1:16" ht="12.75" x14ac:dyDescent="0.2">
      <c r="A404" s="485"/>
      <c r="B404" s="485"/>
      <c r="C404" s="485"/>
      <c r="D404" s="485"/>
      <c r="E404" s="485"/>
      <c r="F404" s="485"/>
      <c r="G404" s="485"/>
      <c r="H404" s="485"/>
      <c r="I404" s="485"/>
      <c r="J404" s="485"/>
      <c r="K404" s="485"/>
      <c r="L404" s="485"/>
      <c r="M404" s="485"/>
      <c r="N404" s="485"/>
      <c r="O404" s="485"/>
      <c r="P404" s="485"/>
    </row>
    <row r="405" spans="1:16" ht="12.75" x14ac:dyDescent="0.2">
      <c r="A405" s="485"/>
      <c r="B405" s="485"/>
      <c r="C405" s="485"/>
      <c r="D405" s="485"/>
      <c r="E405" s="485"/>
      <c r="F405" s="485"/>
      <c r="G405" s="485"/>
      <c r="H405" s="485"/>
      <c r="I405" s="485"/>
      <c r="J405" s="485"/>
      <c r="K405" s="485"/>
      <c r="L405" s="485"/>
      <c r="M405" s="485"/>
      <c r="N405" s="485"/>
      <c r="O405" s="485"/>
      <c r="P405" s="485"/>
    </row>
    <row r="406" spans="1:16" ht="12.75" x14ac:dyDescent="0.2">
      <c r="A406" s="485"/>
      <c r="B406" s="485"/>
      <c r="C406" s="485"/>
      <c r="D406" s="485"/>
      <c r="E406" s="485"/>
      <c r="F406" s="485"/>
      <c r="G406" s="485"/>
      <c r="H406" s="485"/>
      <c r="I406" s="485"/>
      <c r="J406" s="485"/>
      <c r="K406" s="485"/>
      <c r="L406" s="485"/>
      <c r="M406" s="485"/>
      <c r="N406" s="485"/>
      <c r="O406" s="485"/>
      <c r="P406" s="485"/>
    </row>
    <row r="407" spans="1:16" ht="12.75" x14ac:dyDescent="0.2">
      <c r="A407" s="485"/>
      <c r="B407" s="485"/>
      <c r="C407" s="485"/>
      <c r="D407" s="485"/>
      <c r="E407" s="485"/>
      <c r="F407" s="485"/>
      <c r="G407" s="485"/>
      <c r="H407" s="485"/>
      <c r="I407" s="485"/>
      <c r="J407" s="485"/>
      <c r="K407" s="485"/>
      <c r="L407" s="485"/>
      <c r="M407" s="485"/>
      <c r="N407" s="485"/>
      <c r="O407" s="485"/>
      <c r="P407" s="485"/>
    </row>
    <row r="408" spans="1:16" ht="12.75" x14ac:dyDescent="0.2">
      <c r="A408" s="485"/>
      <c r="B408" s="485"/>
      <c r="C408" s="485"/>
      <c r="D408" s="485"/>
      <c r="E408" s="485"/>
      <c r="F408" s="485"/>
      <c r="G408" s="485"/>
      <c r="H408" s="485"/>
      <c r="I408" s="485"/>
      <c r="J408" s="485"/>
      <c r="K408" s="485"/>
      <c r="L408" s="485"/>
      <c r="M408" s="485"/>
      <c r="N408" s="485"/>
      <c r="O408" s="485"/>
      <c r="P408" s="485"/>
    </row>
    <row r="409" spans="1:16" ht="12.75" x14ac:dyDescent="0.2">
      <c r="A409" s="485"/>
      <c r="B409" s="485"/>
      <c r="C409" s="485"/>
      <c r="D409" s="485"/>
      <c r="E409" s="485"/>
      <c r="F409" s="485"/>
      <c r="G409" s="485"/>
      <c r="H409" s="485"/>
      <c r="I409" s="485"/>
      <c r="J409" s="485"/>
      <c r="K409" s="485"/>
      <c r="L409" s="485"/>
      <c r="M409" s="485"/>
      <c r="N409" s="485"/>
      <c r="O409" s="485"/>
      <c r="P409" s="485"/>
    </row>
    <row r="410" spans="1:16" ht="12.75" x14ac:dyDescent="0.2">
      <c r="A410" s="485"/>
      <c r="B410" s="485"/>
      <c r="C410" s="485"/>
      <c r="D410" s="485"/>
      <c r="E410" s="485"/>
      <c r="F410" s="485"/>
      <c r="G410" s="485"/>
      <c r="H410" s="485"/>
      <c r="I410" s="485"/>
      <c r="J410" s="485"/>
      <c r="K410" s="485"/>
      <c r="L410" s="485"/>
      <c r="M410" s="485"/>
      <c r="N410" s="485"/>
      <c r="O410" s="485"/>
      <c r="P410" s="485"/>
    </row>
    <row r="411" spans="1:16" ht="12.75" x14ac:dyDescent="0.2">
      <c r="A411" s="485"/>
      <c r="B411" s="485"/>
      <c r="C411" s="485"/>
      <c r="D411" s="485"/>
      <c r="E411" s="485"/>
      <c r="F411" s="485"/>
      <c r="G411" s="485"/>
      <c r="H411" s="485"/>
      <c r="I411" s="485"/>
      <c r="J411" s="485"/>
      <c r="K411" s="485"/>
      <c r="L411" s="485"/>
      <c r="M411" s="485"/>
      <c r="N411" s="485"/>
      <c r="O411" s="485"/>
      <c r="P411" s="485"/>
    </row>
    <row r="412" spans="1:16" ht="12.75" x14ac:dyDescent="0.2">
      <c r="A412" s="485"/>
      <c r="B412" s="485"/>
      <c r="C412" s="485"/>
      <c r="D412" s="485"/>
      <c r="E412" s="485"/>
      <c r="F412" s="485"/>
      <c r="G412" s="485"/>
      <c r="H412" s="485"/>
      <c r="I412" s="485"/>
      <c r="J412" s="485"/>
      <c r="K412" s="485"/>
      <c r="L412" s="485"/>
      <c r="M412" s="485"/>
      <c r="N412" s="485"/>
      <c r="O412" s="485"/>
      <c r="P412" s="485"/>
    </row>
    <row r="413" spans="1:16" ht="12.75" x14ac:dyDescent="0.2">
      <c r="A413" s="485"/>
      <c r="B413" s="485"/>
      <c r="C413" s="485"/>
      <c r="D413" s="485"/>
      <c r="E413" s="485"/>
      <c r="F413" s="485"/>
      <c r="G413" s="485"/>
      <c r="H413" s="485"/>
      <c r="I413" s="485"/>
      <c r="J413" s="485"/>
      <c r="K413" s="485"/>
      <c r="L413" s="485"/>
      <c r="M413" s="485"/>
      <c r="N413" s="485"/>
      <c r="O413" s="485"/>
      <c r="P413" s="485"/>
    </row>
    <row r="414" spans="1:16" ht="12.75" x14ac:dyDescent="0.2">
      <c r="A414" s="485"/>
      <c r="B414" s="485"/>
      <c r="C414" s="485"/>
      <c r="D414" s="485"/>
      <c r="E414" s="485"/>
      <c r="F414" s="485"/>
      <c r="G414" s="485"/>
      <c r="H414" s="485"/>
      <c r="I414" s="485"/>
      <c r="J414" s="485"/>
      <c r="K414" s="485"/>
      <c r="L414" s="485"/>
      <c r="M414" s="485"/>
      <c r="N414" s="485"/>
      <c r="O414" s="485"/>
      <c r="P414" s="485"/>
    </row>
    <row r="415" spans="1:16" ht="12.75" x14ac:dyDescent="0.2">
      <c r="A415" s="485"/>
      <c r="B415" s="485"/>
      <c r="C415" s="485"/>
      <c r="D415" s="485"/>
      <c r="E415" s="485"/>
      <c r="F415" s="485"/>
      <c r="G415" s="485"/>
      <c r="H415" s="485"/>
      <c r="I415" s="485"/>
      <c r="J415" s="485"/>
      <c r="K415" s="485"/>
      <c r="L415" s="485"/>
      <c r="M415" s="485"/>
      <c r="N415" s="485"/>
      <c r="O415" s="485"/>
      <c r="P415" s="485"/>
    </row>
    <row r="416" spans="1:16" ht="12.75" x14ac:dyDescent="0.2">
      <c r="A416" s="485"/>
      <c r="B416" s="485"/>
      <c r="C416" s="485"/>
      <c r="D416" s="485"/>
      <c r="E416" s="485"/>
      <c r="F416" s="485"/>
      <c r="G416" s="485"/>
      <c r="H416" s="485"/>
      <c r="I416" s="485"/>
      <c r="J416" s="485"/>
      <c r="K416" s="485"/>
      <c r="L416" s="485"/>
      <c r="M416" s="485"/>
      <c r="N416" s="485"/>
      <c r="O416" s="485"/>
      <c r="P416" s="485"/>
    </row>
    <row r="417" spans="1:16" ht="12.75" x14ac:dyDescent="0.2">
      <c r="A417" s="485"/>
      <c r="B417" s="485"/>
      <c r="C417" s="485"/>
      <c r="D417" s="485"/>
      <c r="E417" s="485"/>
      <c r="F417" s="485"/>
      <c r="G417" s="485"/>
      <c r="H417" s="485"/>
      <c r="I417" s="485"/>
      <c r="J417" s="485"/>
      <c r="K417" s="485"/>
      <c r="L417" s="485"/>
      <c r="M417" s="485"/>
      <c r="N417" s="485"/>
      <c r="O417" s="485"/>
      <c r="P417" s="485"/>
    </row>
    <row r="418" spans="1:16" ht="12.75" x14ac:dyDescent="0.2">
      <c r="A418" s="485"/>
      <c r="B418" s="485"/>
      <c r="C418" s="485"/>
      <c r="D418" s="485"/>
      <c r="E418" s="485"/>
      <c r="F418" s="485"/>
      <c r="G418" s="485"/>
      <c r="H418" s="485"/>
      <c r="I418" s="485"/>
      <c r="J418" s="485"/>
      <c r="K418" s="485"/>
      <c r="L418" s="485"/>
      <c r="M418" s="485"/>
      <c r="N418" s="485"/>
      <c r="O418" s="485"/>
      <c r="P418" s="485"/>
    </row>
    <row r="419" spans="1:16" ht="12.75" x14ac:dyDescent="0.2">
      <c r="A419" s="485"/>
      <c r="B419" s="485"/>
      <c r="C419" s="485"/>
      <c r="D419" s="485"/>
      <c r="E419" s="485"/>
      <c r="F419" s="485"/>
      <c r="G419" s="485"/>
      <c r="H419" s="485"/>
      <c r="I419" s="485"/>
      <c r="J419" s="485"/>
      <c r="K419" s="485"/>
      <c r="L419" s="485"/>
      <c r="M419" s="485"/>
      <c r="N419" s="485"/>
      <c r="O419" s="485"/>
      <c r="P419" s="485"/>
    </row>
    <row r="420" spans="1:16" ht="12.75" x14ac:dyDescent="0.2">
      <c r="A420" s="485"/>
      <c r="B420" s="485"/>
      <c r="C420" s="485"/>
      <c r="D420" s="485"/>
      <c r="E420" s="485"/>
      <c r="F420" s="485"/>
      <c r="G420" s="485"/>
      <c r="H420" s="485"/>
      <c r="I420" s="485"/>
      <c r="J420" s="485"/>
      <c r="K420" s="485"/>
      <c r="L420" s="485"/>
      <c r="M420" s="485"/>
      <c r="N420" s="485"/>
      <c r="O420" s="485"/>
      <c r="P420" s="485"/>
    </row>
    <row r="421" spans="1:16" ht="12.75" x14ac:dyDescent="0.2">
      <c r="A421" s="485"/>
      <c r="B421" s="485"/>
      <c r="C421" s="485"/>
      <c r="D421" s="485"/>
      <c r="E421" s="485"/>
      <c r="F421" s="485"/>
      <c r="G421" s="485"/>
      <c r="H421" s="485"/>
      <c r="I421" s="485"/>
      <c r="J421" s="485"/>
      <c r="K421" s="485"/>
      <c r="L421" s="485"/>
      <c r="M421" s="485"/>
      <c r="N421" s="485"/>
      <c r="O421" s="485"/>
      <c r="P421" s="485"/>
    </row>
    <row r="422" spans="1:16" ht="12.75" x14ac:dyDescent="0.2">
      <c r="A422" s="485"/>
      <c r="B422" s="485"/>
      <c r="C422" s="485"/>
      <c r="D422" s="485"/>
      <c r="E422" s="485"/>
      <c r="F422" s="485"/>
      <c r="G422" s="485"/>
      <c r="H422" s="485"/>
      <c r="I422" s="485"/>
      <c r="J422" s="485"/>
      <c r="K422" s="485"/>
      <c r="L422" s="485"/>
      <c r="M422" s="485"/>
      <c r="N422" s="485"/>
      <c r="O422" s="485"/>
      <c r="P422" s="485"/>
    </row>
    <row r="423" spans="1:16" ht="12.75" x14ac:dyDescent="0.2">
      <c r="A423" s="485"/>
      <c r="B423" s="485"/>
      <c r="C423" s="485"/>
      <c r="D423" s="485"/>
      <c r="E423" s="485"/>
      <c r="F423" s="485"/>
      <c r="G423" s="485"/>
      <c r="H423" s="485"/>
      <c r="I423" s="485"/>
      <c r="J423" s="485"/>
      <c r="K423" s="485"/>
      <c r="L423" s="485"/>
      <c r="M423" s="485"/>
      <c r="N423" s="485"/>
      <c r="O423" s="485"/>
      <c r="P423" s="485"/>
    </row>
    <row r="424" spans="1:16" ht="12.75" x14ac:dyDescent="0.2">
      <c r="A424" s="485"/>
      <c r="B424" s="485"/>
      <c r="C424" s="485"/>
      <c r="D424" s="485"/>
      <c r="E424" s="485"/>
      <c r="F424" s="485"/>
      <c r="G424" s="485"/>
      <c r="H424" s="485"/>
      <c r="I424" s="485"/>
      <c r="J424" s="485"/>
      <c r="K424" s="485"/>
      <c r="L424" s="485"/>
      <c r="M424" s="485"/>
      <c r="N424" s="485"/>
      <c r="O424" s="485"/>
      <c r="P424" s="485"/>
    </row>
    <row r="425" spans="1:16" ht="12.75" x14ac:dyDescent="0.2">
      <c r="A425" s="485"/>
      <c r="B425" s="485"/>
      <c r="C425" s="485"/>
      <c r="D425" s="485"/>
      <c r="E425" s="485"/>
      <c r="F425" s="485"/>
      <c r="G425" s="485"/>
      <c r="H425" s="485"/>
      <c r="I425" s="485"/>
      <c r="J425" s="485"/>
      <c r="K425" s="485"/>
      <c r="L425" s="485"/>
      <c r="M425" s="485"/>
      <c r="N425" s="485"/>
      <c r="O425" s="485"/>
      <c r="P425" s="485"/>
    </row>
    <row r="426" spans="1:16" ht="12.75" x14ac:dyDescent="0.2">
      <c r="A426" s="485"/>
      <c r="B426" s="485"/>
      <c r="C426" s="485"/>
      <c r="D426" s="485"/>
      <c r="E426" s="485"/>
      <c r="F426" s="485"/>
      <c r="G426" s="485"/>
      <c r="H426" s="485"/>
      <c r="I426" s="485"/>
      <c r="J426" s="485"/>
      <c r="K426" s="485"/>
      <c r="L426" s="485"/>
      <c r="M426" s="485"/>
      <c r="N426" s="485"/>
      <c r="O426" s="485"/>
      <c r="P426" s="485"/>
    </row>
    <row r="427" spans="1:16" ht="12.75" x14ac:dyDescent="0.2">
      <c r="A427" s="485"/>
      <c r="B427" s="485"/>
      <c r="C427" s="485"/>
      <c r="D427" s="485"/>
      <c r="E427" s="485"/>
      <c r="F427" s="485"/>
      <c r="G427" s="485"/>
      <c r="H427" s="485"/>
      <c r="I427" s="485"/>
      <c r="J427" s="485"/>
      <c r="K427" s="485"/>
      <c r="L427" s="485"/>
      <c r="M427" s="485"/>
      <c r="N427" s="485"/>
      <c r="O427" s="485"/>
      <c r="P427" s="485"/>
    </row>
    <row r="428" spans="1:16" ht="12.75" x14ac:dyDescent="0.2">
      <c r="A428" s="485"/>
      <c r="B428" s="485"/>
      <c r="C428" s="485"/>
      <c r="D428" s="485"/>
      <c r="E428" s="485"/>
      <c r="F428" s="485"/>
      <c r="G428" s="485"/>
      <c r="H428" s="485"/>
      <c r="I428" s="485"/>
      <c r="J428" s="485"/>
      <c r="K428" s="485"/>
      <c r="L428" s="485"/>
      <c r="M428" s="485"/>
      <c r="N428" s="485"/>
      <c r="O428" s="485"/>
      <c r="P428" s="485"/>
    </row>
    <row r="429" spans="1:16" ht="12.75" x14ac:dyDescent="0.2">
      <c r="A429" s="485"/>
      <c r="B429" s="485"/>
      <c r="C429" s="485"/>
      <c r="D429" s="485"/>
      <c r="E429" s="485"/>
      <c r="F429" s="485"/>
      <c r="G429" s="485"/>
      <c r="H429" s="485"/>
      <c r="I429" s="485"/>
      <c r="J429" s="485"/>
      <c r="K429" s="485"/>
      <c r="L429" s="485"/>
      <c r="M429" s="485"/>
      <c r="N429" s="485"/>
      <c r="O429" s="485"/>
      <c r="P429" s="485"/>
    </row>
    <row r="430" spans="1:16" ht="12.75" x14ac:dyDescent="0.2">
      <c r="A430" s="485"/>
      <c r="B430" s="485"/>
      <c r="C430" s="485"/>
      <c r="D430" s="485"/>
      <c r="E430" s="485"/>
      <c r="F430" s="485"/>
      <c r="G430" s="485"/>
      <c r="H430" s="485"/>
      <c r="I430" s="485"/>
      <c r="J430" s="485"/>
      <c r="K430" s="485"/>
      <c r="L430" s="485"/>
      <c r="M430" s="485"/>
      <c r="N430" s="485"/>
      <c r="O430" s="485"/>
      <c r="P430" s="485"/>
    </row>
    <row r="431" spans="1:16" ht="12.75" x14ac:dyDescent="0.2">
      <c r="A431" s="485"/>
      <c r="B431" s="485"/>
      <c r="C431" s="485"/>
      <c r="D431" s="485"/>
      <c r="E431" s="485"/>
      <c r="F431" s="485"/>
      <c r="G431" s="485"/>
      <c r="H431" s="485"/>
      <c r="I431" s="485"/>
      <c r="J431" s="485"/>
      <c r="K431" s="485"/>
      <c r="L431" s="485"/>
      <c r="M431" s="485"/>
      <c r="N431" s="485"/>
      <c r="O431" s="485"/>
      <c r="P431" s="485"/>
    </row>
    <row r="432" spans="1:16" ht="12.75" x14ac:dyDescent="0.2">
      <c r="A432" s="485"/>
      <c r="B432" s="485"/>
      <c r="C432" s="485"/>
      <c r="D432" s="485"/>
      <c r="E432" s="485"/>
      <c r="F432" s="485"/>
      <c r="G432" s="485"/>
      <c r="H432" s="485"/>
      <c r="I432" s="485"/>
      <c r="J432" s="485"/>
      <c r="K432" s="485"/>
      <c r="L432" s="485"/>
      <c r="M432" s="485"/>
      <c r="N432" s="485"/>
      <c r="O432" s="485"/>
      <c r="P432" s="485"/>
    </row>
    <row r="433" spans="1:16" ht="12.75" x14ac:dyDescent="0.2">
      <c r="A433" s="485"/>
      <c r="B433" s="485"/>
      <c r="C433" s="485"/>
      <c r="D433" s="485"/>
      <c r="E433" s="485"/>
      <c r="F433" s="485"/>
      <c r="G433" s="485"/>
      <c r="H433" s="485"/>
      <c r="I433" s="485"/>
      <c r="J433" s="485"/>
      <c r="K433" s="485"/>
      <c r="L433" s="485"/>
      <c r="M433" s="485"/>
      <c r="N433" s="485"/>
      <c r="O433" s="485"/>
      <c r="P433" s="485"/>
    </row>
    <row r="434" spans="1:16" ht="12.75" x14ac:dyDescent="0.2">
      <c r="A434" s="485"/>
      <c r="B434" s="485"/>
      <c r="C434" s="485"/>
      <c r="D434" s="485"/>
      <c r="E434" s="485"/>
      <c r="F434" s="485"/>
      <c r="G434" s="485"/>
      <c r="H434" s="485"/>
      <c r="I434" s="485"/>
      <c r="J434" s="485"/>
      <c r="K434" s="485"/>
      <c r="L434" s="485"/>
      <c r="M434" s="485"/>
      <c r="N434" s="485"/>
      <c r="O434" s="485"/>
      <c r="P434" s="485"/>
    </row>
    <row r="435" spans="1:16" ht="12.75" x14ac:dyDescent="0.2">
      <c r="A435" s="485"/>
      <c r="B435" s="485"/>
      <c r="C435" s="485"/>
      <c r="D435" s="485"/>
      <c r="E435" s="485"/>
      <c r="F435" s="485"/>
      <c r="G435" s="485"/>
      <c r="H435" s="485"/>
      <c r="I435" s="485"/>
      <c r="J435" s="485"/>
      <c r="K435" s="485"/>
      <c r="L435" s="485"/>
      <c r="M435" s="485"/>
      <c r="N435" s="485"/>
      <c r="O435" s="485"/>
      <c r="P435" s="485"/>
    </row>
    <row r="436" spans="1:16" ht="12.75" x14ac:dyDescent="0.2">
      <c r="A436" s="485"/>
      <c r="B436" s="485"/>
      <c r="C436" s="485"/>
      <c r="D436" s="485"/>
      <c r="E436" s="485"/>
      <c r="F436" s="485"/>
      <c r="G436" s="485"/>
      <c r="H436" s="485"/>
      <c r="I436" s="485"/>
      <c r="J436" s="485"/>
      <c r="K436" s="485"/>
      <c r="L436" s="485"/>
      <c r="M436" s="485"/>
      <c r="N436" s="485"/>
      <c r="O436" s="485"/>
      <c r="P436" s="485"/>
    </row>
    <row r="437" spans="1:16" ht="12.75" x14ac:dyDescent="0.2">
      <c r="A437" s="485"/>
      <c r="B437" s="485"/>
      <c r="C437" s="485"/>
      <c r="D437" s="485"/>
      <c r="E437" s="485"/>
      <c r="F437" s="485"/>
      <c r="G437" s="485"/>
      <c r="H437" s="485"/>
      <c r="I437" s="485"/>
      <c r="J437" s="485"/>
      <c r="K437" s="485"/>
      <c r="L437" s="485"/>
      <c r="M437" s="485"/>
      <c r="N437" s="485"/>
      <c r="O437" s="485"/>
      <c r="P437" s="485"/>
    </row>
    <row r="438" spans="1:16" ht="12.75" x14ac:dyDescent="0.2">
      <c r="A438" s="485"/>
      <c r="B438" s="485"/>
      <c r="C438" s="485"/>
      <c r="D438" s="485"/>
      <c r="E438" s="485"/>
      <c r="F438" s="485"/>
      <c r="G438" s="485"/>
      <c r="H438" s="485"/>
      <c r="I438" s="485"/>
      <c r="J438" s="485"/>
      <c r="K438" s="485"/>
      <c r="L438" s="485"/>
      <c r="M438" s="485"/>
      <c r="N438" s="485"/>
      <c r="O438" s="485"/>
      <c r="P438" s="485"/>
    </row>
    <row r="439" spans="1:16" ht="12.75" x14ac:dyDescent="0.2">
      <c r="A439" s="485"/>
      <c r="B439" s="485"/>
      <c r="C439" s="485"/>
      <c r="D439" s="485"/>
      <c r="E439" s="485"/>
      <c r="F439" s="485"/>
      <c r="G439" s="485"/>
      <c r="H439" s="485"/>
      <c r="I439" s="485"/>
      <c r="J439" s="485"/>
      <c r="K439" s="485"/>
      <c r="L439" s="485"/>
      <c r="M439" s="485"/>
      <c r="N439" s="485"/>
      <c r="O439" s="485"/>
      <c r="P439" s="485"/>
    </row>
    <row r="440" spans="1:16" ht="12.75" x14ac:dyDescent="0.2">
      <c r="A440" s="485"/>
      <c r="B440" s="485"/>
      <c r="C440" s="485"/>
      <c r="D440" s="485"/>
      <c r="E440" s="485"/>
      <c r="F440" s="485"/>
      <c r="G440" s="485"/>
      <c r="H440" s="485"/>
      <c r="I440" s="485"/>
      <c r="J440" s="485"/>
      <c r="K440" s="485"/>
      <c r="L440" s="485"/>
      <c r="M440" s="485"/>
      <c r="N440" s="485"/>
      <c r="O440" s="485"/>
      <c r="P440" s="485"/>
    </row>
    <row r="441" spans="1:16" ht="12.75" x14ac:dyDescent="0.2">
      <c r="A441" s="485"/>
      <c r="B441" s="485"/>
      <c r="C441" s="485"/>
      <c r="D441" s="485"/>
      <c r="E441" s="485"/>
      <c r="F441" s="485"/>
      <c r="G441" s="485"/>
      <c r="H441" s="485"/>
      <c r="I441" s="485"/>
      <c r="J441" s="485"/>
      <c r="K441" s="485"/>
      <c r="L441" s="485"/>
      <c r="M441" s="485"/>
      <c r="N441" s="485"/>
      <c r="O441" s="485"/>
      <c r="P441" s="485"/>
    </row>
    <row r="442" spans="1:16" ht="12.75" x14ac:dyDescent="0.2">
      <c r="A442" s="485"/>
      <c r="B442" s="485"/>
      <c r="C442" s="485"/>
      <c r="D442" s="485"/>
      <c r="E442" s="485"/>
      <c r="F442" s="485"/>
      <c r="G442" s="485"/>
      <c r="H442" s="485"/>
      <c r="I442" s="485"/>
      <c r="J442" s="485"/>
      <c r="K442" s="485"/>
      <c r="L442" s="485"/>
      <c r="M442" s="485"/>
      <c r="N442" s="485"/>
      <c r="O442" s="485"/>
      <c r="P442" s="485"/>
    </row>
    <row r="443" spans="1:16" ht="12.75" x14ac:dyDescent="0.2">
      <c r="A443" s="485"/>
      <c r="B443" s="485"/>
      <c r="C443" s="485"/>
      <c r="D443" s="485"/>
      <c r="E443" s="485"/>
      <c r="F443" s="485"/>
      <c r="G443" s="485"/>
      <c r="H443" s="485"/>
      <c r="I443" s="485"/>
      <c r="J443" s="485"/>
      <c r="K443" s="485"/>
      <c r="L443" s="485"/>
      <c r="M443" s="485"/>
      <c r="N443" s="485"/>
      <c r="O443" s="485"/>
      <c r="P443" s="485"/>
    </row>
    <row r="444" spans="1:16" ht="12.75" x14ac:dyDescent="0.2">
      <c r="A444" s="485"/>
      <c r="B444" s="485"/>
      <c r="C444" s="485"/>
      <c r="D444" s="485"/>
      <c r="E444" s="485"/>
      <c r="F444" s="485"/>
      <c r="G444" s="485"/>
      <c r="H444" s="485"/>
      <c r="I444" s="485"/>
      <c r="J444" s="485"/>
      <c r="K444" s="485"/>
      <c r="L444" s="485"/>
      <c r="M444" s="485"/>
      <c r="N444" s="485"/>
      <c r="O444" s="485"/>
      <c r="P444" s="485"/>
    </row>
    <row r="445" spans="1:16" ht="12.75" x14ac:dyDescent="0.2">
      <c r="A445" s="485"/>
      <c r="B445" s="485"/>
      <c r="C445" s="485"/>
      <c r="D445" s="485"/>
      <c r="E445" s="485"/>
      <c r="F445" s="485"/>
      <c r="G445" s="485"/>
      <c r="H445" s="485"/>
      <c r="I445" s="485"/>
      <c r="J445" s="485"/>
      <c r="K445" s="485"/>
      <c r="L445" s="485"/>
      <c r="M445" s="485"/>
      <c r="N445" s="485"/>
      <c r="O445" s="485"/>
      <c r="P445" s="485"/>
    </row>
    <row r="446" spans="1:16" ht="12.75" x14ac:dyDescent="0.2">
      <c r="A446" s="485"/>
      <c r="B446" s="485"/>
      <c r="C446" s="485"/>
      <c r="D446" s="485"/>
      <c r="E446" s="485"/>
      <c r="F446" s="485"/>
      <c r="G446" s="485"/>
      <c r="H446" s="485"/>
      <c r="I446" s="485"/>
      <c r="J446" s="485"/>
      <c r="K446" s="485"/>
      <c r="L446" s="485"/>
      <c r="M446" s="485"/>
      <c r="N446" s="485"/>
      <c r="O446" s="485"/>
      <c r="P446" s="485"/>
    </row>
    <row r="447" spans="1:16" ht="12.75" x14ac:dyDescent="0.2">
      <c r="A447" s="485"/>
      <c r="B447" s="485"/>
      <c r="C447" s="485"/>
      <c r="D447" s="485"/>
      <c r="E447" s="485"/>
      <c r="F447" s="485"/>
      <c r="G447" s="485"/>
      <c r="H447" s="485"/>
      <c r="I447" s="485"/>
      <c r="J447" s="485"/>
      <c r="K447" s="485"/>
      <c r="L447" s="485"/>
      <c r="M447" s="485"/>
      <c r="N447" s="485"/>
      <c r="O447" s="485"/>
      <c r="P447" s="485"/>
    </row>
    <row r="448" spans="1:16" ht="12.75" x14ac:dyDescent="0.2">
      <c r="A448" s="485"/>
      <c r="B448" s="485"/>
      <c r="C448" s="485"/>
      <c r="D448" s="485"/>
      <c r="E448" s="485"/>
      <c r="F448" s="485"/>
      <c r="G448" s="485"/>
      <c r="H448" s="485"/>
      <c r="I448" s="485"/>
      <c r="J448" s="485"/>
      <c r="K448" s="485"/>
      <c r="L448" s="485"/>
      <c r="M448" s="485"/>
      <c r="N448" s="485"/>
      <c r="O448" s="485"/>
      <c r="P448" s="485"/>
    </row>
    <row r="449" spans="1:16" ht="12.75" x14ac:dyDescent="0.2">
      <c r="A449" s="485"/>
      <c r="B449" s="485"/>
      <c r="C449" s="485"/>
      <c r="D449" s="485"/>
      <c r="E449" s="485"/>
      <c r="F449" s="485"/>
      <c r="G449" s="485"/>
      <c r="H449" s="485"/>
      <c r="I449" s="485"/>
      <c r="J449" s="485"/>
      <c r="K449" s="485"/>
      <c r="L449" s="485"/>
      <c r="M449" s="485"/>
      <c r="N449" s="485"/>
      <c r="O449" s="485"/>
      <c r="P449" s="485"/>
    </row>
    <row r="450" spans="1:16" ht="12.75" x14ac:dyDescent="0.2">
      <c r="A450" s="485"/>
      <c r="B450" s="485"/>
      <c r="C450" s="485"/>
      <c r="D450" s="485"/>
      <c r="E450" s="485"/>
      <c r="F450" s="485"/>
      <c r="G450" s="485"/>
      <c r="H450" s="485"/>
      <c r="I450" s="485"/>
      <c r="J450" s="485"/>
      <c r="K450" s="485"/>
      <c r="L450" s="485"/>
      <c r="M450" s="485"/>
      <c r="N450" s="485"/>
      <c r="O450" s="485"/>
      <c r="P450" s="485"/>
    </row>
    <row r="451" spans="1:16" ht="12.75" x14ac:dyDescent="0.2">
      <c r="A451" s="485"/>
      <c r="B451" s="485"/>
      <c r="C451" s="485"/>
      <c r="D451" s="485"/>
      <c r="E451" s="485"/>
      <c r="F451" s="485"/>
      <c r="G451" s="485"/>
      <c r="H451" s="485"/>
      <c r="I451" s="485"/>
      <c r="J451" s="485"/>
      <c r="K451" s="485"/>
      <c r="L451" s="485"/>
      <c r="M451" s="485"/>
      <c r="N451" s="485"/>
      <c r="O451" s="485"/>
      <c r="P451" s="485"/>
    </row>
    <row r="452" spans="1:16" ht="12.75" x14ac:dyDescent="0.2">
      <c r="A452" s="485"/>
      <c r="B452" s="485"/>
      <c r="C452" s="485"/>
      <c r="D452" s="485"/>
      <c r="E452" s="485"/>
      <c r="F452" s="485"/>
      <c r="G452" s="485"/>
      <c r="H452" s="485"/>
      <c r="I452" s="485"/>
      <c r="J452" s="485"/>
      <c r="K452" s="485"/>
      <c r="L452" s="485"/>
      <c r="M452" s="485"/>
      <c r="N452" s="485"/>
      <c r="O452" s="485"/>
      <c r="P452" s="485"/>
    </row>
    <row r="453" spans="1:16" ht="12.75" x14ac:dyDescent="0.2">
      <c r="A453" s="485"/>
      <c r="B453" s="485"/>
      <c r="C453" s="485"/>
      <c r="D453" s="485"/>
      <c r="E453" s="485"/>
      <c r="F453" s="485"/>
      <c r="G453" s="485"/>
      <c r="H453" s="485"/>
      <c r="I453" s="485"/>
      <c r="J453" s="485"/>
      <c r="K453" s="485"/>
      <c r="L453" s="485"/>
      <c r="M453" s="485"/>
      <c r="N453" s="485"/>
      <c r="O453" s="485"/>
      <c r="P453" s="485"/>
    </row>
    <row r="454" spans="1:16" ht="12.75" x14ac:dyDescent="0.2">
      <c r="A454" s="485"/>
      <c r="B454" s="485"/>
      <c r="C454" s="485"/>
      <c r="D454" s="485"/>
      <c r="E454" s="485"/>
      <c r="F454" s="485"/>
      <c r="G454" s="485"/>
      <c r="H454" s="485"/>
      <c r="I454" s="485"/>
      <c r="J454" s="485"/>
      <c r="K454" s="485"/>
      <c r="L454" s="485"/>
      <c r="M454" s="485"/>
      <c r="N454" s="485"/>
      <c r="O454" s="485"/>
      <c r="P454" s="485"/>
    </row>
    <row r="455" spans="1:16" ht="12.75" x14ac:dyDescent="0.2">
      <c r="A455" s="485"/>
      <c r="B455" s="485"/>
      <c r="C455" s="485"/>
      <c r="D455" s="485"/>
      <c r="E455" s="485"/>
      <c r="F455" s="485"/>
      <c r="G455" s="485"/>
      <c r="H455" s="485"/>
      <c r="I455" s="485"/>
      <c r="J455" s="485"/>
      <c r="K455" s="485"/>
      <c r="L455" s="485"/>
      <c r="M455" s="485"/>
      <c r="N455" s="485"/>
      <c r="O455" s="485"/>
      <c r="P455" s="485"/>
    </row>
    <row r="456" spans="1:16" ht="12.75" x14ac:dyDescent="0.2">
      <c r="A456" s="485"/>
      <c r="B456" s="485"/>
      <c r="C456" s="485"/>
      <c r="D456" s="485"/>
      <c r="E456" s="485"/>
      <c r="F456" s="485"/>
      <c r="G456" s="485"/>
      <c r="H456" s="485"/>
      <c r="I456" s="485"/>
      <c r="J456" s="485"/>
      <c r="K456" s="485"/>
      <c r="L456" s="485"/>
      <c r="M456" s="485"/>
      <c r="N456" s="485"/>
      <c r="O456" s="485"/>
      <c r="P456" s="485"/>
    </row>
    <row r="457" spans="1:16" ht="12.75" x14ac:dyDescent="0.2">
      <c r="A457" s="485"/>
      <c r="B457" s="485"/>
      <c r="C457" s="485"/>
      <c r="D457" s="485"/>
      <c r="E457" s="485"/>
      <c r="F457" s="485"/>
      <c r="G457" s="485"/>
      <c r="H457" s="485"/>
      <c r="I457" s="485"/>
      <c r="J457" s="485"/>
      <c r="K457" s="485"/>
      <c r="L457" s="485"/>
      <c r="M457" s="485"/>
      <c r="N457" s="485"/>
      <c r="O457" s="485"/>
      <c r="P457" s="485"/>
    </row>
    <row r="458" spans="1:16" ht="12.75" x14ac:dyDescent="0.2">
      <c r="A458" s="485"/>
      <c r="B458" s="485"/>
      <c r="C458" s="485"/>
      <c r="D458" s="485"/>
      <c r="E458" s="485"/>
      <c r="F458" s="485"/>
      <c r="G458" s="485"/>
      <c r="H458" s="485"/>
      <c r="I458" s="485"/>
      <c r="J458" s="485"/>
      <c r="K458" s="485"/>
      <c r="L458" s="485"/>
      <c r="M458" s="485"/>
      <c r="N458" s="485"/>
      <c r="O458" s="485"/>
      <c r="P458" s="485"/>
    </row>
    <row r="459" spans="1:16" ht="12.75" x14ac:dyDescent="0.2">
      <c r="A459" s="485"/>
      <c r="B459" s="485"/>
      <c r="C459" s="485"/>
      <c r="D459" s="485"/>
      <c r="E459" s="485"/>
      <c r="F459" s="485"/>
      <c r="G459" s="485"/>
      <c r="H459" s="485"/>
      <c r="I459" s="485"/>
      <c r="J459" s="485"/>
      <c r="K459" s="485"/>
      <c r="L459" s="485"/>
      <c r="M459" s="485"/>
      <c r="N459" s="485"/>
      <c r="O459" s="485"/>
      <c r="P459" s="485"/>
    </row>
    <row r="460" spans="1:16" ht="12.75" x14ac:dyDescent="0.2">
      <c r="A460" s="485"/>
      <c r="B460" s="485"/>
      <c r="C460" s="485"/>
      <c r="D460" s="485"/>
      <c r="E460" s="485"/>
      <c r="F460" s="485"/>
      <c r="G460" s="485"/>
      <c r="H460" s="485"/>
      <c r="I460" s="485"/>
      <c r="J460" s="485"/>
      <c r="K460" s="485"/>
      <c r="L460" s="485"/>
      <c r="M460" s="485"/>
      <c r="N460" s="485"/>
      <c r="O460" s="485"/>
      <c r="P460" s="485"/>
    </row>
    <row r="461" spans="1:16" ht="12.75" x14ac:dyDescent="0.2">
      <c r="A461" s="485"/>
      <c r="B461" s="485"/>
      <c r="C461" s="485"/>
      <c r="D461" s="485"/>
      <c r="E461" s="485"/>
      <c r="F461" s="485"/>
      <c r="G461" s="485"/>
      <c r="H461" s="485"/>
      <c r="I461" s="485"/>
      <c r="J461" s="485"/>
      <c r="K461" s="485"/>
      <c r="L461" s="485"/>
      <c r="M461" s="485"/>
      <c r="N461" s="485"/>
      <c r="O461" s="485"/>
      <c r="P461" s="485"/>
    </row>
    <row r="462" spans="1:16" ht="12.75" x14ac:dyDescent="0.2">
      <c r="A462" s="485"/>
      <c r="B462" s="485"/>
      <c r="C462" s="485"/>
      <c r="D462" s="485"/>
      <c r="E462" s="485"/>
      <c r="F462" s="485"/>
      <c r="G462" s="485"/>
      <c r="H462" s="485"/>
      <c r="I462" s="485"/>
      <c r="J462" s="485"/>
      <c r="K462" s="485"/>
      <c r="L462" s="485"/>
      <c r="M462" s="485"/>
      <c r="N462" s="485"/>
      <c r="O462" s="485"/>
      <c r="P462" s="485"/>
    </row>
    <row r="463" spans="1:16" ht="12.75" x14ac:dyDescent="0.2">
      <c r="A463" s="485"/>
      <c r="B463" s="485"/>
      <c r="C463" s="485"/>
      <c r="D463" s="485"/>
      <c r="E463" s="485"/>
      <c r="F463" s="485"/>
      <c r="G463" s="485"/>
      <c r="H463" s="485"/>
      <c r="I463" s="485"/>
      <c r="J463" s="485"/>
      <c r="K463" s="485"/>
      <c r="L463" s="485"/>
      <c r="M463" s="485"/>
      <c r="N463" s="485"/>
      <c r="O463" s="485"/>
      <c r="P463" s="485"/>
    </row>
    <row r="464" spans="1:16" ht="12.75" x14ac:dyDescent="0.2">
      <c r="A464" s="485"/>
      <c r="B464" s="485"/>
      <c r="C464" s="485"/>
      <c r="D464" s="485"/>
      <c r="E464" s="485"/>
      <c r="F464" s="485"/>
      <c r="G464" s="485"/>
      <c r="H464" s="485"/>
      <c r="I464" s="485"/>
      <c r="J464" s="485"/>
      <c r="K464" s="485"/>
      <c r="L464" s="485"/>
      <c r="M464" s="485"/>
      <c r="N464" s="485"/>
      <c r="O464" s="485"/>
      <c r="P464" s="485"/>
    </row>
    <row r="465" spans="1:16" ht="12.75" x14ac:dyDescent="0.2">
      <c r="A465" s="485"/>
      <c r="B465" s="485"/>
      <c r="C465" s="485"/>
      <c r="D465" s="485"/>
      <c r="E465" s="485"/>
      <c r="F465" s="485"/>
      <c r="G465" s="485"/>
      <c r="H465" s="485"/>
      <c r="I465" s="485"/>
      <c r="J465" s="485"/>
      <c r="K465" s="485"/>
      <c r="L465" s="485"/>
      <c r="M465" s="485"/>
      <c r="N465" s="485"/>
      <c r="O465" s="485"/>
      <c r="P465" s="485"/>
    </row>
    <row r="466" spans="1:16" ht="12.75" x14ac:dyDescent="0.2">
      <c r="A466" s="485"/>
      <c r="B466" s="485"/>
      <c r="C466" s="485"/>
      <c r="D466" s="485"/>
      <c r="E466" s="485"/>
      <c r="F466" s="485"/>
      <c r="G466" s="485"/>
      <c r="H466" s="485"/>
      <c r="I466" s="485"/>
      <c r="J466" s="485"/>
      <c r="K466" s="485"/>
      <c r="L466" s="485"/>
      <c r="M466" s="485"/>
      <c r="N466" s="485"/>
      <c r="O466" s="485"/>
      <c r="P466" s="485"/>
    </row>
    <row r="467" spans="1:16" ht="12.75" x14ac:dyDescent="0.2">
      <c r="A467" s="485"/>
      <c r="B467" s="485"/>
      <c r="C467" s="485"/>
      <c r="D467" s="485"/>
      <c r="E467" s="485"/>
      <c r="F467" s="485"/>
      <c r="G467" s="485"/>
      <c r="H467" s="485"/>
      <c r="I467" s="485"/>
      <c r="J467" s="485"/>
      <c r="K467" s="485"/>
      <c r="L467" s="485"/>
      <c r="M467" s="485"/>
      <c r="N467" s="485"/>
      <c r="O467" s="485"/>
      <c r="P467" s="485"/>
    </row>
    <row r="468" spans="1:16" ht="12.75" x14ac:dyDescent="0.2">
      <c r="A468" s="485"/>
      <c r="B468" s="485"/>
      <c r="C468" s="485"/>
      <c r="D468" s="485"/>
      <c r="E468" s="485"/>
      <c r="F468" s="485"/>
      <c r="G468" s="485"/>
      <c r="H468" s="485"/>
      <c r="I468" s="485"/>
      <c r="J468" s="485"/>
      <c r="K468" s="485"/>
      <c r="L468" s="485"/>
      <c r="M468" s="485"/>
      <c r="N468" s="485"/>
      <c r="O468" s="485"/>
      <c r="P468" s="485"/>
    </row>
    <row r="469" spans="1:16" ht="12.75" x14ac:dyDescent="0.2">
      <c r="A469" s="485"/>
      <c r="B469" s="485"/>
      <c r="C469" s="485"/>
      <c r="D469" s="485"/>
      <c r="E469" s="485"/>
      <c r="F469" s="485"/>
      <c r="G469" s="485"/>
      <c r="H469" s="485"/>
      <c r="I469" s="485"/>
      <c r="J469" s="485"/>
      <c r="K469" s="485"/>
      <c r="L469" s="485"/>
      <c r="M469" s="485"/>
      <c r="N469" s="485"/>
      <c r="O469" s="485"/>
      <c r="P469" s="485"/>
    </row>
    <row r="470" spans="1:16" ht="12.75" x14ac:dyDescent="0.2">
      <c r="A470" s="485"/>
      <c r="B470" s="485"/>
      <c r="C470" s="485"/>
      <c r="D470" s="485"/>
      <c r="E470" s="485"/>
      <c r="F470" s="485"/>
      <c r="G470" s="485"/>
      <c r="H470" s="485"/>
      <c r="I470" s="485"/>
      <c r="J470" s="485"/>
      <c r="K470" s="485"/>
      <c r="L470" s="485"/>
      <c r="M470" s="485"/>
      <c r="N470" s="485"/>
      <c r="O470" s="485"/>
      <c r="P470" s="485"/>
    </row>
    <row r="471" spans="1:16" ht="12.75" x14ac:dyDescent="0.2">
      <c r="A471" s="485"/>
      <c r="B471" s="485"/>
      <c r="C471" s="485"/>
      <c r="D471" s="485"/>
      <c r="E471" s="485"/>
      <c r="F471" s="485"/>
      <c r="G471" s="485"/>
      <c r="H471" s="485"/>
      <c r="I471" s="485"/>
      <c r="J471" s="485"/>
      <c r="K471" s="485"/>
      <c r="L471" s="485"/>
      <c r="M471" s="485"/>
      <c r="N471" s="485"/>
      <c r="O471" s="485"/>
      <c r="P471" s="485"/>
    </row>
    <row r="472" spans="1:16" ht="12.75" x14ac:dyDescent="0.2">
      <c r="A472" s="485"/>
      <c r="B472" s="485"/>
      <c r="C472" s="485"/>
      <c r="D472" s="485"/>
      <c r="E472" s="485"/>
      <c r="F472" s="485"/>
      <c r="G472" s="485"/>
      <c r="H472" s="485"/>
      <c r="I472" s="485"/>
      <c r="J472" s="485"/>
      <c r="K472" s="485"/>
      <c r="L472" s="485"/>
      <c r="M472" s="485"/>
      <c r="N472" s="485"/>
      <c r="O472" s="485"/>
      <c r="P472" s="485"/>
    </row>
    <row r="473" spans="1:16" ht="12.75" x14ac:dyDescent="0.2">
      <c r="A473" s="485"/>
      <c r="B473" s="485"/>
      <c r="C473" s="485"/>
      <c r="D473" s="485"/>
      <c r="E473" s="485"/>
      <c r="F473" s="485"/>
      <c r="G473" s="485"/>
      <c r="H473" s="485"/>
      <c r="I473" s="485"/>
      <c r="J473" s="485"/>
      <c r="K473" s="485"/>
      <c r="L473" s="485"/>
      <c r="M473" s="485"/>
      <c r="N473" s="485"/>
      <c r="O473" s="485"/>
      <c r="P473" s="485"/>
    </row>
    <row r="474" spans="1:16" ht="12.75" x14ac:dyDescent="0.2">
      <c r="A474" s="485"/>
      <c r="B474" s="485"/>
      <c r="C474" s="485"/>
      <c r="D474" s="485"/>
      <c r="E474" s="485"/>
      <c r="F474" s="485"/>
      <c r="G474" s="485"/>
      <c r="H474" s="485"/>
      <c r="I474" s="485"/>
      <c r="J474" s="485"/>
      <c r="K474" s="485"/>
      <c r="L474" s="485"/>
      <c r="M474" s="485"/>
      <c r="N474" s="485"/>
      <c r="O474" s="485"/>
      <c r="P474" s="485"/>
    </row>
    <row r="475" spans="1:16" ht="12.75" x14ac:dyDescent="0.2">
      <c r="A475" s="485"/>
      <c r="B475" s="485"/>
      <c r="C475" s="485"/>
      <c r="D475" s="485"/>
      <c r="E475" s="485"/>
      <c r="F475" s="485"/>
      <c r="G475" s="485"/>
      <c r="H475" s="485"/>
      <c r="I475" s="485"/>
      <c r="J475" s="485"/>
      <c r="K475" s="485"/>
      <c r="L475" s="485"/>
      <c r="M475" s="485"/>
      <c r="N475" s="485"/>
      <c r="O475" s="485"/>
      <c r="P475" s="485"/>
    </row>
    <row r="476" spans="1:16" ht="12.75" x14ac:dyDescent="0.2">
      <c r="A476" s="485"/>
      <c r="B476" s="485"/>
      <c r="C476" s="485"/>
      <c r="D476" s="485"/>
      <c r="E476" s="485"/>
      <c r="F476" s="485"/>
      <c r="G476" s="485"/>
      <c r="H476" s="485"/>
      <c r="I476" s="485"/>
      <c r="J476" s="485"/>
      <c r="K476" s="485"/>
      <c r="L476" s="485"/>
      <c r="M476" s="485"/>
      <c r="N476" s="485"/>
      <c r="O476" s="485"/>
      <c r="P476" s="485"/>
    </row>
    <row r="477" spans="1:16" ht="12.75" x14ac:dyDescent="0.2">
      <c r="A477" s="485"/>
      <c r="B477" s="485"/>
      <c r="C477" s="485"/>
      <c r="D477" s="485"/>
      <c r="E477" s="485"/>
      <c r="F477" s="485"/>
      <c r="G477" s="485"/>
      <c r="H477" s="485"/>
      <c r="I477" s="485"/>
      <c r="J477" s="485"/>
      <c r="K477" s="485"/>
      <c r="L477" s="485"/>
      <c r="M477" s="485"/>
      <c r="N477" s="485"/>
      <c r="O477" s="485"/>
      <c r="P477" s="485"/>
    </row>
    <row r="478" spans="1:16" ht="12.75" x14ac:dyDescent="0.2">
      <c r="A478" s="485"/>
      <c r="B478" s="485"/>
      <c r="C478" s="485"/>
      <c r="D478" s="485"/>
      <c r="E478" s="485"/>
      <c r="F478" s="485"/>
      <c r="G478" s="485"/>
      <c r="H478" s="485"/>
      <c r="I478" s="485"/>
      <c r="J478" s="485"/>
      <c r="K478" s="485"/>
      <c r="L478" s="485"/>
      <c r="M478" s="485"/>
      <c r="N478" s="485"/>
      <c r="O478" s="485"/>
      <c r="P478" s="485"/>
    </row>
    <row r="479" spans="1:16" ht="12.75" x14ac:dyDescent="0.2">
      <c r="A479" s="485"/>
      <c r="B479" s="485"/>
      <c r="C479" s="485"/>
      <c r="D479" s="485"/>
      <c r="E479" s="485"/>
      <c r="F479" s="485"/>
      <c r="G479" s="485"/>
      <c r="H479" s="485"/>
      <c r="I479" s="485"/>
      <c r="J479" s="485"/>
      <c r="K479" s="485"/>
      <c r="L479" s="485"/>
      <c r="M479" s="485"/>
      <c r="N479" s="485"/>
      <c r="O479" s="485"/>
      <c r="P479" s="485"/>
    </row>
    <row r="480" spans="1:16" ht="12.75" x14ac:dyDescent="0.2">
      <c r="A480" s="485"/>
      <c r="B480" s="485"/>
      <c r="C480" s="485"/>
      <c r="D480" s="485"/>
      <c r="E480" s="485"/>
      <c r="F480" s="485"/>
      <c r="G480" s="485"/>
      <c r="H480" s="485"/>
      <c r="I480" s="485"/>
      <c r="J480" s="485"/>
      <c r="K480" s="485"/>
      <c r="L480" s="485"/>
      <c r="M480" s="485"/>
      <c r="N480" s="485"/>
      <c r="O480" s="485"/>
      <c r="P480" s="485"/>
    </row>
    <row r="481" spans="1:16" ht="12.75" x14ac:dyDescent="0.2">
      <c r="A481" s="485"/>
      <c r="B481" s="485"/>
      <c r="C481" s="485"/>
      <c r="D481" s="485"/>
      <c r="E481" s="485"/>
      <c r="F481" s="485"/>
      <c r="G481" s="485"/>
      <c r="H481" s="485"/>
      <c r="I481" s="485"/>
      <c r="J481" s="485"/>
      <c r="K481" s="485"/>
      <c r="L481" s="485"/>
      <c r="M481" s="485"/>
      <c r="N481" s="485"/>
      <c r="O481" s="485"/>
      <c r="P481" s="485"/>
    </row>
    <row r="482" spans="1:16" ht="12.75" x14ac:dyDescent="0.2">
      <c r="A482" s="485"/>
      <c r="B482" s="485"/>
      <c r="C482" s="485"/>
      <c r="D482" s="485"/>
      <c r="E482" s="485"/>
      <c r="F482" s="485"/>
      <c r="G482" s="485"/>
      <c r="H482" s="485"/>
      <c r="I482" s="485"/>
      <c r="J482" s="485"/>
      <c r="K482" s="485"/>
      <c r="L482" s="485"/>
      <c r="M482" s="485"/>
      <c r="N482" s="485"/>
      <c r="O482" s="485"/>
      <c r="P482" s="485"/>
    </row>
    <row r="483" spans="1:16" ht="12.75" x14ac:dyDescent="0.2">
      <c r="A483" s="485"/>
      <c r="B483" s="485"/>
      <c r="C483" s="485"/>
      <c r="D483" s="485"/>
      <c r="E483" s="485"/>
      <c r="F483" s="485"/>
      <c r="G483" s="485"/>
      <c r="H483" s="485"/>
      <c r="I483" s="485"/>
      <c r="J483" s="485"/>
      <c r="K483" s="485"/>
      <c r="L483" s="485"/>
      <c r="M483" s="485"/>
      <c r="N483" s="485"/>
      <c r="O483" s="485"/>
      <c r="P483" s="485"/>
    </row>
    <row r="484" spans="1:16" ht="12.75" x14ac:dyDescent="0.2">
      <c r="A484" s="485"/>
      <c r="B484" s="485"/>
      <c r="C484" s="485"/>
      <c r="D484" s="485"/>
      <c r="E484" s="485"/>
      <c r="F484" s="485"/>
      <c r="G484" s="485"/>
      <c r="H484" s="485"/>
      <c r="I484" s="485"/>
      <c r="J484" s="485"/>
      <c r="K484" s="485"/>
      <c r="L484" s="485"/>
      <c r="M484" s="485"/>
      <c r="N484" s="485"/>
      <c r="O484" s="485"/>
      <c r="P484" s="485"/>
    </row>
    <row r="485" spans="1:16" ht="12.75" x14ac:dyDescent="0.2">
      <c r="A485" s="485"/>
      <c r="B485" s="485"/>
      <c r="C485" s="485"/>
      <c r="D485" s="485"/>
      <c r="E485" s="485"/>
      <c r="F485" s="485"/>
      <c r="G485" s="485"/>
      <c r="H485" s="485"/>
      <c r="I485" s="485"/>
      <c r="J485" s="485"/>
      <c r="K485" s="485"/>
      <c r="L485" s="485"/>
      <c r="M485" s="485"/>
      <c r="N485" s="485"/>
      <c r="O485" s="485"/>
      <c r="P485" s="485"/>
    </row>
    <row r="486" spans="1:16" ht="12.75" x14ac:dyDescent="0.2">
      <c r="A486" s="485"/>
      <c r="B486" s="485"/>
      <c r="C486" s="485"/>
      <c r="D486" s="485"/>
      <c r="E486" s="485"/>
      <c r="F486" s="485"/>
      <c r="G486" s="485"/>
      <c r="H486" s="485"/>
      <c r="I486" s="485"/>
      <c r="J486" s="485"/>
      <c r="K486" s="485"/>
      <c r="L486" s="485"/>
      <c r="M486" s="485"/>
      <c r="N486" s="485"/>
      <c r="O486" s="485"/>
      <c r="P486" s="485"/>
    </row>
    <row r="487" spans="1:16" ht="12.75" x14ac:dyDescent="0.2">
      <c r="A487" s="485"/>
      <c r="B487" s="485"/>
      <c r="C487" s="485"/>
      <c r="D487" s="485"/>
      <c r="E487" s="485"/>
      <c r="F487" s="485"/>
      <c r="G487" s="485"/>
      <c r="H487" s="485"/>
      <c r="I487" s="485"/>
      <c r="J487" s="485"/>
      <c r="K487" s="485"/>
      <c r="L487" s="485"/>
      <c r="M487" s="485"/>
      <c r="N487" s="485"/>
      <c r="O487" s="485"/>
      <c r="P487" s="485"/>
    </row>
    <row r="488" spans="1:16" ht="12.75" x14ac:dyDescent="0.2">
      <c r="A488" s="485"/>
      <c r="B488" s="485"/>
      <c r="C488" s="485"/>
      <c r="D488" s="485"/>
      <c r="E488" s="485"/>
      <c r="F488" s="485"/>
      <c r="G488" s="485"/>
      <c r="H488" s="485"/>
      <c r="I488" s="485"/>
      <c r="J488" s="485"/>
      <c r="K488" s="485"/>
      <c r="L488" s="485"/>
      <c r="M488" s="485"/>
      <c r="N488" s="485"/>
      <c r="O488" s="485"/>
      <c r="P488" s="485"/>
    </row>
    <row r="489" spans="1:16" ht="12.75" x14ac:dyDescent="0.2">
      <c r="A489" s="485"/>
      <c r="B489" s="485"/>
      <c r="C489" s="485"/>
      <c r="D489" s="485"/>
      <c r="E489" s="485"/>
      <c r="F489" s="485"/>
      <c r="G489" s="485"/>
      <c r="H489" s="485"/>
      <c r="I489" s="485"/>
      <c r="J489" s="485"/>
      <c r="K489" s="485"/>
      <c r="L489" s="485"/>
      <c r="M489" s="485"/>
      <c r="N489" s="485"/>
      <c r="O489" s="485"/>
      <c r="P489" s="485"/>
    </row>
    <row r="490" spans="1:16" ht="12.75" x14ac:dyDescent="0.2">
      <c r="A490" s="485"/>
      <c r="B490" s="485"/>
      <c r="C490" s="485"/>
      <c r="D490" s="485"/>
      <c r="E490" s="485"/>
      <c r="F490" s="485"/>
      <c r="G490" s="485"/>
      <c r="H490" s="485"/>
      <c r="I490" s="485"/>
      <c r="J490" s="485"/>
      <c r="K490" s="485"/>
      <c r="L490" s="485"/>
      <c r="M490" s="485"/>
      <c r="N490" s="485"/>
      <c r="O490" s="485"/>
      <c r="P490" s="485"/>
    </row>
    <row r="491" spans="1:16" ht="12.75" x14ac:dyDescent="0.2">
      <c r="A491" s="485"/>
      <c r="B491" s="485"/>
      <c r="C491" s="485"/>
      <c r="D491" s="485"/>
      <c r="E491" s="485"/>
      <c r="F491" s="485"/>
      <c r="G491" s="485"/>
      <c r="H491" s="485"/>
      <c r="I491" s="485"/>
      <c r="J491" s="485"/>
      <c r="K491" s="485"/>
      <c r="L491" s="485"/>
      <c r="M491" s="485"/>
      <c r="N491" s="485"/>
      <c r="O491" s="485"/>
      <c r="P491" s="485"/>
    </row>
    <row r="492" spans="1:16" ht="12.75" x14ac:dyDescent="0.2">
      <c r="A492" s="485"/>
      <c r="B492" s="485"/>
      <c r="C492" s="485"/>
      <c r="D492" s="485"/>
      <c r="E492" s="485"/>
      <c r="F492" s="485"/>
      <c r="G492" s="485"/>
      <c r="H492" s="485"/>
      <c r="I492" s="485"/>
      <c r="J492" s="485"/>
      <c r="K492" s="485"/>
      <c r="L492" s="485"/>
      <c r="M492" s="485"/>
      <c r="N492" s="485"/>
      <c r="O492" s="485"/>
      <c r="P492" s="485"/>
    </row>
    <row r="493" spans="1:16" ht="12.75" x14ac:dyDescent="0.2">
      <c r="A493" s="485"/>
      <c r="B493" s="485"/>
      <c r="C493" s="485"/>
      <c r="D493" s="485"/>
      <c r="E493" s="485"/>
      <c r="F493" s="485"/>
      <c r="G493" s="485"/>
      <c r="H493" s="485"/>
      <c r="I493" s="485"/>
      <c r="J493" s="485"/>
      <c r="K493" s="485"/>
      <c r="L493" s="485"/>
      <c r="M493" s="485"/>
      <c r="N493" s="485"/>
      <c r="O493" s="485"/>
      <c r="P493" s="485"/>
    </row>
    <row r="494" spans="1:16" ht="12.75" x14ac:dyDescent="0.2">
      <c r="A494" s="485"/>
      <c r="B494" s="485"/>
      <c r="C494" s="485"/>
      <c r="D494" s="485"/>
      <c r="E494" s="485"/>
      <c r="F494" s="485"/>
      <c r="G494" s="485"/>
      <c r="H494" s="485"/>
      <c r="I494" s="485"/>
      <c r="J494" s="485"/>
      <c r="K494" s="485"/>
      <c r="L494" s="485"/>
      <c r="M494" s="485"/>
      <c r="N494" s="485"/>
      <c r="O494" s="485"/>
      <c r="P494" s="485"/>
    </row>
    <row r="495" spans="1:16" ht="12.75" x14ac:dyDescent="0.2">
      <c r="A495" s="485"/>
      <c r="B495" s="485"/>
      <c r="C495" s="485"/>
      <c r="D495" s="485"/>
      <c r="E495" s="485"/>
      <c r="F495" s="485"/>
      <c r="G495" s="485"/>
      <c r="H495" s="485"/>
      <c r="I495" s="485"/>
      <c r="J495" s="485"/>
      <c r="K495" s="485"/>
      <c r="L495" s="485"/>
      <c r="M495" s="485"/>
      <c r="N495" s="485"/>
      <c r="O495" s="485"/>
      <c r="P495" s="485"/>
    </row>
    <row r="496" spans="1:16" ht="12.75" x14ac:dyDescent="0.2">
      <c r="A496" s="485"/>
      <c r="B496" s="485"/>
      <c r="C496" s="485"/>
      <c r="D496" s="485"/>
      <c r="E496" s="485"/>
      <c r="F496" s="485"/>
      <c r="G496" s="485"/>
      <c r="H496" s="485"/>
      <c r="I496" s="485"/>
      <c r="J496" s="485"/>
      <c r="K496" s="485"/>
      <c r="L496" s="485"/>
      <c r="M496" s="485"/>
      <c r="N496" s="485"/>
      <c r="O496" s="485"/>
      <c r="P496" s="485"/>
    </row>
    <row r="497" spans="1:16" ht="12.75" x14ac:dyDescent="0.2">
      <c r="A497" s="485"/>
      <c r="B497" s="485"/>
      <c r="C497" s="485"/>
      <c r="D497" s="485"/>
      <c r="E497" s="485"/>
      <c r="F497" s="485"/>
      <c r="G497" s="485"/>
      <c r="H497" s="485"/>
      <c r="I497" s="485"/>
      <c r="J497" s="485"/>
      <c r="K497" s="485"/>
      <c r="L497" s="485"/>
      <c r="M497" s="485"/>
      <c r="N497" s="485"/>
      <c r="O497" s="485"/>
      <c r="P497" s="485"/>
    </row>
    <row r="498" spans="1:16" ht="12.75" x14ac:dyDescent="0.2">
      <c r="A498" s="485"/>
      <c r="B498" s="485"/>
      <c r="C498" s="485"/>
      <c r="D498" s="485"/>
      <c r="E498" s="485"/>
      <c r="F498" s="485"/>
      <c r="G498" s="485"/>
      <c r="H498" s="485"/>
      <c r="I498" s="485"/>
      <c r="J498" s="485"/>
      <c r="K498" s="485"/>
      <c r="L498" s="485"/>
      <c r="M498" s="485"/>
      <c r="N498" s="485"/>
      <c r="O498" s="485"/>
      <c r="P498" s="485"/>
    </row>
    <row r="499" spans="1:16" ht="12.75" x14ac:dyDescent="0.2">
      <c r="A499" s="485"/>
      <c r="B499" s="485"/>
      <c r="C499" s="485"/>
      <c r="D499" s="485"/>
      <c r="E499" s="485"/>
      <c r="F499" s="485"/>
      <c r="G499" s="485"/>
      <c r="H499" s="485"/>
      <c r="I499" s="485"/>
      <c r="J499" s="485"/>
      <c r="K499" s="485"/>
      <c r="L499" s="485"/>
      <c r="M499" s="485"/>
      <c r="N499" s="485"/>
      <c r="O499" s="485"/>
      <c r="P499" s="485"/>
    </row>
    <row r="500" spans="1:16" ht="12.75" x14ac:dyDescent="0.2">
      <c r="A500" s="485"/>
      <c r="B500" s="485"/>
      <c r="C500" s="485"/>
      <c r="D500" s="485"/>
      <c r="E500" s="485"/>
      <c r="F500" s="485"/>
      <c r="G500" s="485"/>
      <c r="H500" s="485"/>
      <c r="I500" s="485"/>
      <c r="J500" s="485"/>
      <c r="K500" s="485"/>
      <c r="L500" s="485"/>
      <c r="M500" s="485"/>
      <c r="N500" s="485"/>
      <c r="O500" s="485"/>
      <c r="P500" s="485"/>
    </row>
    <row r="501" spans="1:16" ht="12.75" x14ac:dyDescent="0.2">
      <c r="A501" s="485"/>
      <c r="B501" s="485"/>
      <c r="C501" s="485"/>
      <c r="D501" s="485"/>
      <c r="E501" s="485"/>
      <c r="F501" s="485"/>
      <c r="G501" s="485"/>
      <c r="H501" s="485"/>
      <c r="I501" s="485"/>
      <c r="J501" s="485"/>
      <c r="K501" s="485"/>
      <c r="L501" s="485"/>
      <c r="M501" s="485"/>
      <c r="N501" s="485"/>
      <c r="O501" s="485"/>
      <c r="P501" s="485"/>
    </row>
    <row r="502" spans="1:16" ht="12.75" x14ac:dyDescent="0.2">
      <c r="A502" s="485"/>
      <c r="B502" s="485"/>
      <c r="C502" s="485"/>
      <c r="D502" s="485"/>
      <c r="E502" s="485"/>
      <c r="F502" s="485"/>
      <c r="G502" s="485"/>
      <c r="H502" s="485"/>
      <c r="I502" s="485"/>
      <c r="J502" s="485"/>
      <c r="K502" s="485"/>
      <c r="L502" s="485"/>
      <c r="M502" s="485"/>
      <c r="N502" s="485"/>
      <c r="O502" s="485"/>
      <c r="P502" s="485"/>
    </row>
    <row r="503" spans="1:16" ht="12.75" x14ac:dyDescent="0.2">
      <c r="A503" s="485"/>
      <c r="B503" s="485"/>
      <c r="C503" s="485"/>
      <c r="D503" s="485"/>
      <c r="E503" s="485"/>
      <c r="F503" s="485"/>
      <c r="G503" s="485"/>
      <c r="H503" s="485"/>
      <c r="I503" s="485"/>
      <c r="J503" s="485"/>
      <c r="K503" s="485"/>
      <c r="L503" s="485"/>
      <c r="M503" s="485"/>
      <c r="N503" s="485"/>
      <c r="O503" s="485"/>
      <c r="P503" s="485"/>
    </row>
    <row r="504" spans="1:16" ht="12.75" x14ac:dyDescent="0.2">
      <c r="A504" s="485"/>
      <c r="B504" s="485"/>
      <c r="C504" s="485"/>
      <c r="D504" s="485"/>
      <c r="E504" s="485"/>
      <c r="F504" s="485"/>
      <c r="G504" s="485"/>
      <c r="H504" s="485"/>
      <c r="I504" s="485"/>
      <c r="J504" s="485"/>
      <c r="K504" s="485"/>
      <c r="L504" s="485"/>
      <c r="M504" s="485"/>
      <c r="N504" s="485"/>
      <c r="O504" s="485"/>
      <c r="P504" s="485"/>
    </row>
    <row r="505" spans="1:16" ht="12.75" x14ac:dyDescent="0.2">
      <c r="A505" s="485"/>
      <c r="B505" s="485"/>
      <c r="C505" s="485"/>
      <c r="D505" s="485"/>
      <c r="E505" s="485"/>
      <c r="F505" s="485"/>
      <c r="G505" s="485"/>
      <c r="H505" s="485"/>
      <c r="I505" s="485"/>
      <c r="J505" s="485"/>
      <c r="K505" s="485"/>
      <c r="L505" s="485"/>
      <c r="M505" s="485"/>
      <c r="N505" s="485"/>
      <c r="O505" s="485"/>
      <c r="P505" s="485"/>
    </row>
    <row r="506" spans="1:16" ht="12.75" x14ac:dyDescent="0.2">
      <c r="A506" s="485"/>
      <c r="B506" s="485"/>
      <c r="C506" s="485"/>
      <c r="D506" s="485"/>
      <c r="E506" s="485"/>
      <c r="F506" s="485"/>
      <c r="G506" s="485"/>
      <c r="H506" s="485"/>
      <c r="I506" s="485"/>
      <c r="J506" s="485"/>
      <c r="K506" s="485"/>
      <c r="L506" s="485"/>
      <c r="M506" s="485"/>
      <c r="N506" s="485"/>
      <c r="O506" s="485"/>
      <c r="P506" s="485"/>
    </row>
    <row r="507" spans="1:16" ht="12.75" x14ac:dyDescent="0.2">
      <c r="A507" s="485"/>
      <c r="B507" s="485"/>
      <c r="C507" s="485"/>
      <c r="D507" s="485"/>
      <c r="E507" s="485"/>
      <c r="F507" s="485"/>
      <c r="G507" s="485"/>
      <c r="H507" s="485"/>
      <c r="I507" s="485"/>
      <c r="J507" s="485"/>
      <c r="K507" s="485"/>
      <c r="L507" s="485"/>
      <c r="M507" s="485"/>
      <c r="N507" s="485"/>
      <c r="O507" s="485"/>
      <c r="P507" s="485"/>
    </row>
    <row r="508" spans="1:16" ht="12.75" x14ac:dyDescent="0.2">
      <c r="A508" s="485"/>
      <c r="B508" s="485"/>
      <c r="C508" s="485"/>
      <c r="D508" s="485"/>
      <c r="E508" s="485"/>
      <c r="F508" s="485"/>
      <c r="G508" s="485"/>
      <c r="H508" s="485"/>
      <c r="I508" s="485"/>
      <c r="J508" s="485"/>
      <c r="K508" s="485"/>
      <c r="L508" s="485"/>
      <c r="M508" s="485"/>
      <c r="N508" s="485"/>
      <c r="O508" s="485"/>
      <c r="P508" s="485"/>
    </row>
    <row r="509" spans="1:16" ht="12.75" x14ac:dyDescent="0.2">
      <c r="A509" s="485"/>
      <c r="B509" s="485"/>
      <c r="C509" s="485"/>
      <c r="D509" s="485"/>
      <c r="E509" s="485"/>
      <c r="F509" s="485"/>
      <c r="G509" s="485"/>
      <c r="H509" s="485"/>
      <c r="I509" s="485"/>
      <c r="J509" s="485"/>
      <c r="K509" s="485"/>
      <c r="L509" s="485"/>
      <c r="M509" s="485"/>
      <c r="N509" s="485"/>
      <c r="O509" s="485"/>
      <c r="P509" s="485"/>
    </row>
    <row r="510" spans="1:16" ht="12.75" x14ac:dyDescent="0.2">
      <c r="A510" s="485"/>
      <c r="B510" s="485"/>
      <c r="C510" s="485"/>
      <c r="D510" s="485"/>
      <c r="E510" s="485"/>
      <c r="F510" s="485"/>
      <c r="G510" s="485"/>
      <c r="H510" s="485"/>
      <c r="I510" s="485"/>
      <c r="J510" s="485"/>
      <c r="K510" s="485"/>
      <c r="L510" s="485"/>
      <c r="M510" s="485"/>
      <c r="N510" s="485"/>
      <c r="O510" s="485"/>
      <c r="P510" s="485"/>
    </row>
    <row r="511" spans="1:16" ht="12.75" x14ac:dyDescent="0.2">
      <c r="A511" s="485"/>
      <c r="B511" s="485"/>
      <c r="C511" s="485"/>
      <c r="D511" s="485"/>
      <c r="E511" s="485"/>
      <c r="F511" s="485"/>
      <c r="G511" s="485"/>
      <c r="H511" s="485"/>
      <c r="I511" s="485"/>
      <c r="J511" s="485"/>
      <c r="K511" s="485"/>
      <c r="L511" s="485"/>
      <c r="M511" s="485"/>
      <c r="N511" s="485"/>
      <c r="O511" s="485"/>
      <c r="P511" s="485"/>
    </row>
    <row r="512" spans="1:16" ht="12.75" x14ac:dyDescent="0.2">
      <c r="A512" s="485"/>
      <c r="B512" s="485"/>
      <c r="C512" s="485"/>
      <c r="D512" s="485"/>
      <c r="E512" s="485"/>
      <c r="F512" s="485"/>
      <c r="G512" s="485"/>
      <c r="H512" s="485"/>
      <c r="I512" s="485"/>
      <c r="J512" s="485"/>
      <c r="K512" s="485"/>
      <c r="L512" s="485"/>
      <c r="M512" s="485"/>
      <c r="N512" s="485"/>
      <c r="O512" s="485"/>
      <c r="P512" s="485"/>
    </row>
    <row r="513" spans="1:16" ht="12.75" x14ac:dyDescent="0.2">
      <c r="A513" s="485"/>
      <c r="B513" s="485"/>
      <c r="C513" s="485"/>
      <c r="D513" s="485"/>
      <c r="E513" s="485"/>
      <c r="F513" s="485"/>
      <c r="G513" s="485"/>
      <c r="H513" s="485"/>
      <c r="I513" s="485"/>
      <c r="J513" s="485"/>
      <c r="K513" s="485"/>
      <c r="L513" s="485"/>
      <c r="M513" s="485"/>
      <c r="N513" s="485"/>
      <c r="O513" s="485"/>
      <c r="P513" s="485"/>
    </row>
    <row r="514" spans="1:16" ht="12.75" x14ac:dyDescent="0.2">
      <c r="A514" s="485"/>
      <c r="B514" s="485"/>
      <c r="C514" s="485"/>
      <c r="D514" s="485"/>
      <c r="E514" s="485"/>
      <c r="F514" s="485"/>
      <c r="G514" s="485"/>
      <c r="H514" s="485"/>
      <c r="I514" s="485"/>
      <c r="J514" s="485"/>
      <c r="K514" s="485"/>
      <c r="L514" s="485"/>
      <c r="M514" s="485"/>
      <c r="N514" s="485"/>
      <c r="O514" s="485"/>
      <c r="P514" s="485"/>
    </row>
    <row r="515" spans="1:16" ht="12.75" x14ac:dyDescent="0.2">
      <c r="A515" s="485"/>
      <c r="B515" s="485"/>
      <c r="C515" s="485"/>
      <c r="D515" s="485"/>
      <c r="E515" s="485"/>
      <c r="F515" s="485"/>
      <c r="G515" s="485"/>
      <c r="H515" s="485"/>
      <c r="I515" s="485"/>
      <c r="J515" s="485"/>
      <c r="K515" s="485"/>
      <c r="L515" s="485"/>
      <c r="M515" s="485"/>
      <c r="N515" s="485"/>
      <c r="O515" s="485"/>
      <c r="P515" s="485"/>
    </row>
    <row r="516" spans="1:16" ht="12.75" x14ac:dyDescent="0.2">
      <c r="A516" s="485"/>
      <c r="B516" s="485"/>
      <c r="C516" s="485"/>
      <c r="D516" s="485"/>
      <c r="E516" s="485"/>
      <c r="F516" s="485"/>
      <c r="G516" s="485"/>
      <c r="H516" s="485"/>
      <c r="I516" s="485"/>
      <c r="J516" s="485"/>
      <c r="K516" s="485"/>
      <c r="L516" s="485"/>
      <c r="M516" s="485"/>
      <c r="N516" s="485"/>
      <c r="O516" s="485"/>
      <c r="P516" s="485"/>
    </row>
    <row r="517" spans="1:16" ht="12.75" x14ac:dyDescent="0.2">
      <c r="A517" s="485"/>
      <c r="B517" s="485"/>
      <c r="C517" s="485"/>
      <c r="D517" s="485"/>
      <c r="E517" s="485"/>
      <c r="F517" s="485"/>
      <c r="G517" s="485"/>
      <c r="H517" s="485"/>
      <c r="I517" s="485"/>
      <c r="J517" s="485"/>
      <c r="K517" s="485"/>
      <c r="L517" s="485"/>
      <c r="M517" s="485"/>
      <c r="N517" s="485"/>
      <c r="O517" s="485"/>
      <c r="P517" s="485"/>
    </row>
    <row r="518" spans="1:16" ht="12.75" x14ac:dyDescent="0.2">
      <c r="A518" s="485"/>
      <c r="B518" s="485"/>
      <c r="C518" s="485"/>
      <c r="D518" s="485"/>
      <c r="E518" s="485"/>
      <c r="F518" s="485"/>
      <c r="G518" s="485"/>
      <c r="H518" s="485"/>
      <c r="I518" s="485"/>
      <c r="J518" s="485"/>
      <c r="K518" s="485"/>
      <c r="L518" s="485"/>
      <c r="M518" s="485"/>
      <c r="N518" s="485"/>
      <c r="O518" s="485"/>
      <c r="P518" s="485"/>
    </row>
    <row r="519" spans="1:16" ht="12.75" x14ac:dyDescent="0.2">
      <c r="A519" s="485"/>
      <c r="B519" s="485"/>
      <c r="C519" s="485"/>
      <c r="D519" s="485"/>
      <c r="E519" s="485"/>
      <c r="F519" s="485"/>
      <c r="G519" s="485"/>
      <c r="H519" s="485"/>
      <c r="I519" s="485"/>
      <c r="J519" s="485"/>
      <c r="K519" s="485"/>
      <c r="L519" s="485"/>
      <c r="M519" s="485"/>
      <c r="N519" s="485"/>
      <c r="O519" s="485"/>
      <c r="P519" s="485"/>
    </row>
    <row r="520" spans="1:16" ht="12.75" x14ac:dyDescent="0.2">
      <c r="A520" s="485"/>
      <c r="B520" s="485"/>
      <c r="C520" s="485"/>
      <c r="D520" s="485"/>
      <c r="E520" s="485"/>
      <c r="F520" s="485"/>
      <c r="G520" s="485"/>
      <c r="H520" s="485"/>
      <c r="I520" s="485"/>
      <c r="J520" s="485"/>
      <c r="K520" s="485"/>
      <c r="L520" s="485"/>
      <c r="M520" s="485"/>
      <c r="N520" s="485"/>
      <c r="O520" s="485"/>
      <c r="P520" s="485"/>
    </row>
    <row r="521" spans="1:16" ht="12.75" x14ac:dyDescent="0.2">
      <c r="A521" s="485"/>
      <c r="B521" s="485"/>
      <c r="C521" s="485"/>
      <c r="D521" s="485"/>
      <c r="E521" s="485"/>
      <c r="F521" s="485"/>
      <c r="G521" s="485"/>
      <c r="H521" s="485"/>
      <c r="I521" s="485"/>
      <c r="J521" s="485"/>
      <c r="K521" s="485"/>
      <c r="L521" s="485"/>
      <c r="M521" s="485"/>
      <c r="N521" s="485"/>
      <c r="O521" s="485"/>
      <c r="P521" s="485"/>
    </row>
    <row r="522" spans="1:16" ht="12.75" x14ac:dyDescent="0.2">
      <c r="A522" s="485"/>
      <c r="B522" s="485"/>
      <c r="C522" s="485"/>
      <c r="D522" s="485"/>
      <c r="E522" s="485"/>
      <c r="F522" s="485"/>
      <c r="G522" s="485"/>
      <c r="H522" s="485"/>
      <c r="I522" s="485"/>
      <c r="J522" s="485"/>
      <c r="K522" s="485"/>
      <c r="L522" s="485"/>
      <c r="M522" s="485"/>
      <c r="N522" s="485"/>
      <c r="O522" s="485"/>
      <c r="P522" s="485"/>
    </row>
    <row r="523" spans="1:16" ht="12.75" x14ac:dyDescent="0.2">
      <c r="A523" s="485"/>
      <c r="B523" s="485"/>
      <c r="C523" s="485"/>
      <c r="D523" s="485"/>
      <c r="E523" s="485"/>
      <c r="F523" s="485"/>
      <c r="G523" s="485"/>
      <c r="H523" s="485"/>
      <c r="I523" s="485"/>
      <c r="J523" s="485"/>
      <c r="K523" s="485"/>
      <c r="L523" s="485"/>
      <c r="M523" s="485"/>
      <c r="N523" s="485"/>
      <c r="O523" s="485"/>
      <c r="P523" s="485"/>
    </row>
    <row r="524" spans="1:16" ht="12.75" x14ac:dyDescent="0.2">
      <c r="A524" s="485"/>
      <c r="B524" s="485"/>
      <c r="C524" s="485"/>
      <c r="D524" s="485"/>
      <c r="E524" s="485"/>
      <c r="F524" s="485"/>
      <c r="G524" s="485"/>
      <c r="H524" s="485"/>
      <c r="I524" s="485"/>
      <c r="J524" s="485"/>
      <c r="K524" s="485"/>
      <c r="L524" s="485"/>
      <c r="M524" s="485"/>
      <c r="N524" s="485"/>
      <c r="O524" s="485"/>
      <c r="P524" s="485"/>
    </row>
    <row r="525" spans="1:16" ht="12.75" x14ac:dyDescent="0.2">
      <c r="A525" s="485"/>
      <c r="B525" s="485"/>
      <c r="C525" s="485"/>
      <c r="D525" s="485"/>
      <c r="E525" s="485"/>
      <c r="F525" s="485"/>
      <c r="G525" s="485"/>
      <c r="H525" s="485"/>
      <c r="I525" s="485"/>
      <c r="J525" s="485"/>
      <c r="K525" s="485"/>
      <c r="L525" s="485"/>
      <c r="M525" s="485"/>
      <c r="N525" s="485"/>
      <c r="O525" s="485"/>
      <c r="P525" s="485"/>
    </row>
    <row r="526" spans="1:16" ht="12.75" x14ac:dyDescent="0.2">
      <c r="A526" s="485"/>
      <c r="B526" s="485"/>
      <c r="C526" s="485"/>
      <c r="D526" s="485"/>
      <c r="E526" s="485"/>
      <c r="F526" s="485"/>
      <c r="G526" s="485"/>
      <c r="H526" s="485"/>
      <c r="I526" s="485"/>
      <c r="J526" s="485"/>
      <c r="K526" s="485"/>
      <c r="L526" s="485"/>
      <c r="M526" s="485"/>
      <c r="N526" s="485"/>
      <c r="O526" s="485"/>
      <c r="P526" s="485"/>
    </row>
    <row r="527" spans="1:16" ht="12.75" x14ac:dyDescent="0.2">
      <c r="A527" s="485"/>
      <c r="B527" s="485"/>
      <c r="C527" s="485"/>
      <c r="D527" s="485"/>
      <c r="E527" s="485"/>
      <c r="F527" s="485"/>
      <c r="G527" s="485"/>
      <c r="H527" s="485"/>
      <c r="I527" s="485"/>
      <c r="J527" s="485"/>
      <c r="K527" s="485"/>
      <c r="L527" s="485"/>
      <c r="M527" s="485"/>
      <c r="N527" s="485"/>
      <c r="O527" s="485"/>
      <c r="P527" s="485"/>
    </row>
    <row r="528" spans="1:16" ht="12.75" x14ac:dyDescent="0.2">
      <c r="A528" s="485"/>
      <c r="B528" s="485"/>
      <c r="C528" s="485"/>
      <c r="D528" s="485"/>
      <c r="E528" s="485"/>
      <c r="F528" s="485"/>
      <c r="G528" s="485"/>
      <c r="H528" s="485"/>
      <c r="I528" s="485"/>
      <c r="J528" s="485"/>
      <c r="K528" s="485"/>
      <c r="L528" s="485"/>
      <c r="M528" s="485"/>
      <c r="N528" s="485"/>
      <c r="O528" s="485"/>
      <c r="P528" s="485"/>
    </row>
    <row r="529" spans="1:16" ht="12.75" x14ac:dyDescent="0.2">
      <c r="A529" s="485"/>
      <c r="B529" s="485"/>
      <c r="C529" s="485"/>
      <c r="D529" s="485"/>
      <c r="E529" s="485"/>
      <c r="F529" s="485"/>
      <c r="G529" s="485"/>
      <c r="H529" s="485"/>
      <c r="I529" s="485"/>
      <c r="J529" s="485"/>
      <c r="K529" s="485"/>
      <c r="L529" s="485"/>
      <c r="M529" s="485"/>
      <c r="N529" s="485"/>
      <c r="O529" s="485"/>
      <c r="P529" s="485"/>
    </row>
    <row r="530" spans="1:16" ht="12.75" x14ac:dyDescent="0.2">
      <c r="A530" s="485"/>
      <c r="B530" s="485"/>
      <c r="C530" s="485"/>
      <c r="D530" s="485"/>
      <c r="E530" s="485"/>
      <c r="F530" s="485"/>
      <c r="G530" s="485"/>
      <c r="H530" s="485"/>
      <c r="I530" s="485"/>
      <c r="J530" s="485"/>
      <c r="K530" s="485"/>
      <c r="L530" s="485"/>
      <c r="M530" s="485"/>
      <c r="N530" s="485"/>
      <c r="O530" s="485"/>
      <c r="P530" s="485"/>
    </row>
    <row r="531" spans="1:16" ht="12.75" x14ac:dyDescent="0.2">
      <c r="A531" s="485"/>
      <c r="B531" s="485"/>
      <c r="C531" s="485"/>
      <c r="D531" s="485"/>
      <c r="E531" s="485"/>
      <c r="F531" s="485"/>
      <c r="G531" s="485"/>
      <c r="H531" s="485"/>
      <c r="I531" s="485"/>
      <c r="J531" s="485"/>
      <c r="K531" s="485"/>
      <c r="L531" s="485"/>
      <c r="M531" s="485"/>
      <c r="N531" s="485"/>
      <c r="O531" s="485"/>
      <c r="P531" s="485"/>
    </row>
    <row r="532" spans="1:16" ht="12.75" x14ac:dyDescent="0.2">
      <c r="A532" s="485"/>
      <c r="B532" s="485"/>
      <c r="C532" s="485"/>
      <c r="D532" s="485"/>
      <c r="E532" s="485"/>
      <c r="F532" s="485"/>
      <c r="G532" s="485"/>
      <c r="H532" s="485"/>
      <c r="I532" s="485"/>
      <c r="J532" s="485"/>
      <c r="K532" s="485"/>
      <c r="L532" s="485"/>
      <c r="M532" s="485"/>
      <c r="N532" s="485"/>
      <c r="O532" s="485"/>
      <c r="P532" s="485"/>
    </row>
    <row r="533" spans="1:16" ht="12.75" x14ac:dyDescent="0.2">
      <c r="A533" s="485"/>
      <c r="B533" s="485"/>
      <c r="C533" s="485"/>
      <c r="D533" s="485"/>
      <c r="E533" s="485"/>
      <c r="F533" s="485"/>
      <c r="G533" s="485"/>
      <c r="H533" s="485"/>
      <c r="I533" s="485"/>
      <c r="J533" s="485"/>
      <c r="K533" s="485"/>
      <c r="L533" s="485"/>
      <c r="M533" s="485"/>
      <c r="N533" s="485"/>
      <c r="O533" s="485"/>
      <c r="P533" s="485"/>
    </row>
    <row r="534" spans="1:16" ht="12.75" x14ac:dyDescent="0.2">
      <c r="A534" s="485"/>
      <c r="B534" s="485"/>
      <c r="C534" s="485"/>
      <c r="D534" s="485"/>
      <c r="E534" s="485"/>
      <c r="F534" s="485"/>
      <c r="G534" s="485"/>
      <c r="H534" s="485"/>
      <c r="I534" s="485"/>
      <c r="J534" s="485"/>
      <c r="K534" s="485"/>
      <c r="L534" s="485"/>
      <c r="M534" s="485"/>
      <c r="N534" s="485"/>
      <c r="O534" s="485"/>
      <c r="P534" s="485"/>
    </row>
    <row r="535" spans="1:16" ht="12.75" x14ac:dyDescent="0.2">
      <c r="A535" s="485"/>
      <c r="B535" s="485"/>
      <c r="C535" s="485"/>
      <c r="D535" s="485"/>
      <c r="E535" s="485"/>
      <c r="F535" s="485"/>
      <c r="G535" s="485"/>
      <c r="H535" s="485"/>
      <c r="I535" s="485"/>
      <c r="J535" s="485"/>
      <c r="K535" s="485"/>
      <c r="L535" s="485"/>
      <c r="M535" s="485"/>
      <c r="N535" s="485"/>
      <c r="O535" s="485"/>
      <c r="P535" s="485"/>
    </row>
    <row r="536" spans="1:16" ht="12.75" x14ac:dyDescent="0.2">
      <c r="A536" s="485"/>
      <c r="B536" s="485"/>
      <c r="C536" s="485"/>
      <c r="D536" s="485"/>
      <c r="E536" s="485"/>
      <c r="F536" s="485"/>
      <c r="G536" s="485"/>
      <c r="H536" s="485"/>
      <c r="I536" s="485"/>
      <c r="J536" s="485"/>
      <c r="K536" s="485"/>
      <c r="L536" s="485"/>
      <c r="M536" s="485"/>
      <c r="N536" s="485"/>
      <c r="O536" s="485"/>
      <c r="P536" s="485"/>
    </row>
    <row r="537" spans="1:16" ht="12.75" x14ac:dyDescent="0.2">
      <c r="A537" s="485"/>
      <c r="B537" s="485"/>
      <c r="C537" s="485"/>
      <c r="D537" s="485"/>
      <c r="E537" s="485"/>
      <c r="F537" s="485"/>
      <c r="G537" s="485"/>
      <c r="H537" s="485"/>
      <c r="I537" s="485"/>
      <c r="J537" s="485"/>
      <c r="K537" s="485"/>
      <c r="L537" s="485"/>
      <c r="M537" s="485"/>
      <c r="N537" s="485"/>
      <c r="O537" s="485"/>
      <c r="P537" s="485"/>
    </row>
    <row r="538" spans="1:16" ht="12.75" x14ac:dyDescent="0.2">
      <c r="A538" s="485"/>
      <c r="B538" s="485"/>
      <c r="C538" s="485"/>
      <c r="D538" s="485"/>
      <c r="E538" s="485"/>
      <c r="F538" s="485"/>
      <c r="G538" s="485"/>
      <c r="H538" s="485"/>
      <c r="I538" s="485"/>
      <c r="J538" s="485"/>
      <c r="K538" s="485"/>
      <c r="L538" s="485"/>
      <c r="M538" s="485"/>
      <c r="N538" s="485"/>
      <c r="O538" s="485"/>
      <c r="P538" s="485"/>
    </row>
    <row r="539" spans="1:16" ht="12.75" x14ac:dyDescent="0.2">
      <c r="A539" s="485"/>
      <c r="B539" s="485"/>
      <c r="C539" s="485"/>
      <c r="D539" s="485"/>
      <c r="E539" s="485"/>
      <c r="F539" s="485"/>
      <c r="G539" s="485"/>
      <c r="H539" s="485"/>
      <c r="I539" s="485"/>
      <c r="J539" s="485"/>
      <c r="K539" s="485"/>
      <c r="L539" s="485"/>
      <c r="M539" s="485"/>
      <c r="N539" s="485"/>
      <c r="O539" s="485"/>
      <c r="P539" s="485"/>
    </row>
    <row r="540" spans="1:16" ht="12.75" x14ac:dyDescent="0.2">
      <c r="A540" s="485"/>
      <c r="B540" s="485"/>
      <c r="C540" s="485"/>
      <c r="D540" s="485"/>
      <c r="E540" s="485"/>
      <c r="F540" s="485"/>
      <c r="G540" s="485"/>
      <c r="H540" s="485"/>
      <c r="I540" s="485"/>
      <c r="J540" s="485"/>
      <c r="K540" s="485"/>
      <c r="L540" s="485"/>
      <c r="M540" s="485"/>
      <c r="N540" s="485"/>
      <c r="O540" s="485"/>
      <c r="P540" s="485"/>
    </row>
    <row r="541" spans="1:16" ht="12.75" x14ac:dyDescent="0.2">
      <c r="A541" s="485"/>
      <c r="B541" s="485"/>
      <c r="C541" s="485"/>
      <c r="D541" s="485"/>
      <c r="E541" s="485"/>
      <c r="F541" s="485"/>
      <c r="G541" s="485"/>
      <c r="H541" s="485"/>
      <c r="I541" s="485"/>
      <c r="J541" s="485"/>
      <c r="K541" s="485"/>
      <c r="L541" s="485"/>
      <c r="M541" s="485"/>
      <c r="N541" s="485"/>
      <c r="O541" s="485"/>
      <c r="P541" s="485"/>
    </row>
    <row r="542" spans="1:16" ht="12.75" x14ac:dyDescent="0.2">
      <c r="A542" s="485"/>
      <c r="B542" s="485"/>
      <c r="C542" s="485"/>
      <c r="D542" s="485"/>
      <c r="E542" s="485"/>
      <c r="F542" s="485"/>
      <c r="G542" s="485"/>
      <c r="H542" s="485"/>
      <c r="I542" s="485"/>
      <c r="J542" s="485"/>
      <c r="K542" s="485"/>
      <c r="L542" s="485"/>
      <c r="M542" s="485"/>
      <c r="N542" s="485"/>
      <c r="O542" s="485"/>
      <c r="P542" s="485"/>
    </row>
    <row r="543" spans="1:16" ht="12.75" x14ac:dyDescent="0.2">
      <c r="A543" s="485"/>
      <c r="B543" s="485"/>
      <c r="C543" s="485"/>
      <c r="D543" s="485"/>
      <c r="E543" s="485"/>
      <c r="F543" s="485"/>
      <c r="G543" s="485"/>
      <c r="H543" s="485"/>
      <c r="I543" s="485"/>
      <c r="J543" s="485"/>
      <c r="K543" s="485"/>
      <c r="L543" s="485"/>
      <c r="M543" s="485"/>
      <c r="N543" s="485"/>
      <c r="O543" s="485"/>
      <c r="P543" s="485"/>
    </row>
    <row r="544" spans="1:16" ht="12.75" x14ac:dyDescent="0.2">
      <c r="A544" s="485"/>
      <c r="B544" s="485"/>
      <c r="C544" s="485"/>
      <c r="D544" s="485"/>
      <c r="E544" s="485"/>
      <c r="F544" s="485"/>
      <c r="G544" s="485"/>
      <c r="H544" s="485"/>
      <c r="I544" s="485"/>
      <c r="J544" s="485"/>
      <c r="K544" s="485"/>
      <c r="L544" s="485"/>
      <c r="M544" s="485"/>
      <c r="N544" s="485"/>
      <c r="O544" s="485"/>
      <c r="P544" s="485"/>
    </row>
    <row r="545" spans="1:16" ht="12.75" x14ac:dyDescent="0.2">
      <c r="A545" s="485"/>
      <c r="B545" s="485"/>
      <c r="C545" s="485"/>
      <c r="D545" s="485"/>
      <c r="E545" s="485"/>
      <c r="F545" s="485"/>
      <c r="G545" s="485"/>
      <c r="H545" s="485"/>
      <c r="I545" s="485"/>
      <c r="J545" s="485"/>
      <c r="K545" s="485"/>
      <c r="L545" s="485"/>
      <c r="M545" s="485"/>
      <c r="N545" s="485"/>
      <c r="O545" s="485"/>
      <c r="P545" s="485"/>
    </row>
  </sheetData>
  <mergeCells count="12">
    <mergeCell ref="L5:M5"/>
    <mergeCell ref="N5:P5"/>
    <mergeCell ref="A1:P1"/>
    <mergeCell ref="A2:P2"/>
    <mergeCell ref="A3:P3"/>
    <mergeCell ref="A5:G6"/>
    <mergeCell ref="I5:K5"/>
    <mergeCell ref="A7:G7"/>
    <mergeCell ref="A17:G17"/>
    <mergeCell ref="A30:G30"/>
    <mergeCell ref="A56:G56"/>
    <mergeCell ref="B57:G57"/>
  </mergeCells>
  <pageMargins left="0.23622047244094491" right="0.23622047244094491" top="0.55118110236220474" bottom="0.55118110236220474" header="0.31496062992125984" footer="0.31496062992125984"/>
  <pageSetup paperSize="9" scale="40" fitToHeight="0" orientation="portrait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2305-AE0E-4D94-82F2-C868D5643B83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V17" sqref="V17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" bestFit="1" customWidth="1"/>
    <col min="11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159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2275199</v>
      </c>
      <c r="M18" s="704">
        <f ca="1">M19+M20</f>
        <v>1850588</v>
      </c>
      <c r="N18" s="704">
        <f ca="1">N19+N20</f>
        <v>732041.54</v>
      </c>
      <c r="O18" s="704">
        <f ca="1">IF(L18&gt;0,N18*100/L18,0)</f>
        <v>32.174835695690795</v>
      </c>
      <c r="P18" s="704">
        <f ca="1">IF(M18&gt;0,N18*100/M18,0)</f>
        <v>39.55724018528165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2275199</v>
      </c>
      <c r="M20" s="817">
        <f ca="1">M23+M26</f>
        <v>1850588</v>
      </c>
      <c r="N20" s="817">
        <f ca="1">N23+N26</f>
        <v>732041.54</v>
      </c>
      <c r="O20" s="817">
        <f ca="1">IF(L20&gt;0,N20*100/L20,0)</f>
        <v>32.174835695690795</v>
      </c>
      <c r="P20" s="817">
        <f ca="1">IF(M20&gt;0,N20*100/M20,0)</f>
        <v>39.55724018528165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2275199</v>
      </c>
      <c r="M21" s="425">
        <f ca="1">M22+M23</f>
        <v>1850588</v>
      </c>
      <c r="N21" s="425">
        <f ca="1">N22+N23</f>
        <v>732041.54</v>
      </c>
      <c r="O21" s="425">
        <f ca="1">IF(L21&gt;0,N21*100/L21,0)</f>
        <v>32.174835695690795</v>
      </c>
      <c r="P21" s="425">
        <f ca="1">IF(M21&gt;0,N21*100/M21,0)</f>
        <v>39.55724018528165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2275199</v>
      </c>
      <c r="M23" s="425">
        <f ca="1">M49+M64+M77+M99+M130+M144+M162+M191+M178+M271+M287+M308+M325+M338+M361+M382</f>
        <v>1850588</v>
      </c>
      <c r="N23" s="425">
        <f ca="1">N49+N64+N77+N99+N130+N144+N162+N191+N178+N271+N287+N308+N325+N338+N361+N382</f>
        <v>732041.54</v>
      </c>
      <c r="O23" s="425">
        <f ca="1">IF(L23&gt;0,N23*100/L23,0)</f>
        <v>32.174835695690795</v>
      </c>
      <c r="P23" s="425">
        <f ca="1">IF(M23&gt;0,N23*100/M23,0)</f>
        <v>39.55724018528165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2275199</v>
      </c>
      <c r="M40" s="809">
        <f ca="1">M44+M59+M72+M94+M125+M139+M157+M173+M186+M266+M282+M303+M320+M333+M356</f>
        <v>1850588</v>
      </c>
      <c r="N40" s="809">
        <f ca="1">N44+N59+N72+N94+N125+N139+N157+N173+N186+N266+N282+N303+N320+N333+N356</f>
        <v>732041.54</v>
      </c>
      <c r="O40" s="809">
        <f ca="1">IF(L40&gt;0,N40*100/L40,0)</f>
        <v>32.174835695690795</v>
      </c>
      <c r="P40" s="809">
        <f ca="1">IF(M40&gt;0,N40*100/M40,0)</f>
        <v>39.55724018528165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319029</v>
      </c>
      <c r="M44" s="794">
        <f ca="1">M45+M46</f>
        <v>325458</v>
      </c>
      <c r="N44" s="794">
        <f ca="1">N45+N46</f>
        <v>147429</v>
      </c>
      <c r="O44" s="794">
        <f ca="1">IF(L44&gt;0,N44*100/L44,0)</f>
        <v>46.211786389325106</v>
      </c>
      <c r="P44" s="794">
        <f ca="1">IF(M44&gt;0,N44*100/M44,0)</f>
        <v>45.298932581162546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319029</v>
      </c>
      <c r="M46" s="783">
        <f ca="1">M49+M52</f>
        <v>325458</v>
      </c>
      <c r="N46" s="783">
        <f ca="1">N49+N52</f>
        <v>147429</v>
      </c>
      <c r="O46" s="783">
        <f ca="1">IF(L46&gt;0,N46*100/L46,0)</f>
        <v>46.211786389325106</v>
      </c>
      <c r="P46" s="783">
        <f ca="1">IF(M46&gt;0,N46*100/M46,0)</f>
        <v>45.298932581162546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319029</v>
      </c>
      <c r="M47" s="425">
        <f ca="1">M48+M49</f>
        <v>325458</v>
      </c>
      <c r="N47" s="425">
        <f ca="1">N48+N49</f>
        <v>147429</v>
      </c>
      <c r="O47" s="425">
        <f ca="1">IF(L47&gt;0,N47*100/L47,0)</f>
        <v>46.211786389325106</v>
      </c>
      <c r="P47" s="425">
        <f ca="1">IF(M47&gt;0,N47*100/M47,0)</f>
        <v>45.298932581162546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IFERROR(__xludf.DUMMYFUNCTION("IMPORTRANGE(""https://docs.google.com/spreadsheets/d/1-uDff_7J0KD5mKrp0Vvzr7lt3OU09vwQwhkpOPPYv2Y/edit?usp=sharing"",""งบพรบ!P14"")"),319029)</f>
        <v>319029</v>
      </c>
      <c r="M49" s="425">
        <f ca="1">IFERROR(__xludf.DUMMYFUNCTION("IMPORTRANGE(""https://docs.google.com/spreadsheets/d/1-uDff_7J0KD5mKrp0Vvzr7lt3OU09vwQwhkpOPPYv2Y/edit?usp=sharing"",""งบพรบ!V14"")"),325458)</f>
        <v>325458</v>
      </c>
      <c r="N49" s="425">
        <f ca="1">IFERROR(__xludf.DUMMYFUNCTION("IMPORTRANGE(""https://docs.google.com/spreadsheets/d/1-uDff_7J0KD5mKrp0Vvzr7lt3OU09vwQwhkpOPPYv2Y/edit?usp=sharing"",""งบพรบ!Y14"")"),147429)</f>
        <v>147429</v>
      </c>
      <c r="O49" s="425">
        <f ca="1">IF(L49&gt;0,N49*100/L49,0)</f>
        <v>46.211786389325106</v>
      </c>
      <c r="P49" s="425">
        <f ca="1">IF(M49&gt;0,N49*100/M49,0)</f>
        <v>45.298932581162546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IFERROR(__xludf.DUMMYFUNCTION("IMPORTRANGE(""https://docs.google.com/spreadsheets/d/1-uDff_7J0KD5mKrp0Vvzr7lt3OU09vwQwhkpOPPYv2Y/edit?usp=sharing"",""งบพรบ!S14"")"),0)</f>
        <v>0</v>
      </c>
      <c r="M52" s="425">
        <f ca="1">IFERROR(__xludf.DUMMYFUNCTION("IMPORTRANGE(""https://docs.google.com/spreadsheets/d/1-uDff_7J0KD5mKrp0Vvzr7lt3OU09vwQwhkpOPPYv2Y/edit?usp=sharing"",""งบพรบ!W14"")"),0)</f>
        <v>0</v>
      </c>
      <c r="N52" s="425">
        <f ca="1">IFERROR(__xludf.DUMMYFUNCTION("IMPORTRANGE(""https://docs.google.com/spreadsheets/d/1-uDff_7J0KD5mKrp0Vvzr7lt3OU09vwQwhkpOPPYv2Y/edit?usp=sharing"",""งบพรบ!Z14"")"),0)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569900</v>
      </c>
      <c r="M59" s="763">
        <f ca="1">M60+M61</f>
        <v>429550</v>
      </c>
      <c r="N59" s="763">
        <f ca="1">N60+N61</f>
        <v>287921.09000000003</v>
      </c>
      <c r="O59" s="763">
        <f ca="1">IF(L59&gt;0,N59*100/L59,0)</f>
        <v>50.521335321986321</v>
      </c>
      <c r="P59" s="763">
        <f ca="1">IF(M59&gt;0,N59*100/M59,0)</f>
        <v>67.028539168897694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569900</v>
      </c>
      <c r="M61" s="752">
        <f ca="1">M64+M67</f>
        <v>429550</v>
      </c>
      <c r="N61" s="752">
        <f ca="1">N64+N67</f>
        <v>287921.09000000003</v>
      </c>
      <c r="O61" s="752">
        <f ca="1">IF(L61&gt;0,N61*100/L61,0)</f>
        <v>50.521335321986321</v>
      </c>
      <c r="P61" s="752">
        <f ca="1">IF(M61&gt;0,N61*100/M61,0)</f>
        <v>67.028539168897694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569900</v>
      </c>
      <c r="M62" s="425">
        <f ca="1">M63+M64</f>
        <v>429550</v>
      </c>
      <c r="N62" s="425">
        <f ca="1">N63+N64</f>
        <v>287921.09000000003</v>
      </c>
      <c r="O62" s="425">
        <f ca="1">IF(L62&gt;0,N62*100/L62,0)</f>
        <v>50.521335321986321</v>
      </c>
      <c r="P62" s="425">
        <f ca="1">IF(M62&gt;0,N62*100/M62,0)</f>
        <v>67.028539168897694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IFERROR(__xludf.DUMMYFUNCTION("IMPORTRANGE(""https://docs.google.com/spreadsheets/d/1-uDff_7J0KD5mKrp0Vvzr7lt3OU09vwQwhkpOPPYv2Y/edit?usp=sharing"",""งบพรบ!AC14"")"),569900)</f>
        <v>569900</v>
      </c>
      <c r="M64" s="425">
        <f ca="1">IFERROR(__xludf.DUMMYFUNCTION("IMPORTRANGE(""https://docs.google.com/spreadsheets/d/1-uDff_7J0KD5mKrp0Vvzr7lt3OU09vwQwhkpOPPYv2Y/edit?usp=sharing"",""งบพรบ!AH14"")"),429550)</f>
        <v>429550</v>
      </c>
      <c r="N64" s="425">
        <f ca="1">IFERROR(__xludf.DUMMYFUNCTION("IMPORTRANGE(""https://docs.google.com/spreadsheets/d/1-uDff_7J0KD5mKrp0Vvzr7lt3OU09vwQwhkpOPPYv2Y/edit?usp=sharing"",""งบพรบ!AJ14"")"),287921.09)</f>
        <v>287921.09000000003</v>
      </c>
      <c r="O64" s="425">
        <f ca="1">IF(L64&gt;0,N64*100/L64,0)</f>
        <v>50.521335321986321</v>
      </c>
      <c r="P64" s="425">
        <f ca="1">IF(M64&gt;0,N64*100/M64,0)</f>
        <v>67.028539168897694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IFERROR(__xludf.DUMMYFUNCTION("IMPORTRANGE(""https://docs.google.com/spreadsheets/d/1-uDff_7J0KD5mKrp0Vvzr7lt3OU09vwQwhkpOPPYv2Y/edit?usp=sharing"",""งบพรบ!AF14"")"),0)</f>
        <v>0</v>
      </c>
      <c r="M67" s="747">
        <f ca="1">IFERROR(__xludf.DUMMYFUNCTION("IMPORTRANGE(""https://docs.google.com/spreadsheets/d/1-uDff_7J0KD5mKrp0Vvzr7lt3OU09vwQwhkpOPPYv2Y/edit?usp=sharing"",""งบพรบ!AI14"")"),0)</f>
        <v>0</v>
      </c>
      <c r="N67" s="747">
        <f ca="1">IFERROR(__xludf.DUMMYFUNCTION("IMPORTRANGE(""https://docs.google.com/spreadsheets/d/1-uDff_7J0KD5mKrp0Vvzr7lt3OU09vwQwhkpOPPYv2Y/edit?usp=sharing"",""งบพรบ!AK14"")"),0)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IFERROR(__xludf.DUMMYFUNCTION("IMPORTRANGE(""https://docs.google.com/spreadsheets/d/1-uDff_7J0KD5mKrp0Vvzr7lt3OU09vwQwhkpOPPYv2Y/edit?usp=sharing"",""งบพรบ!AM14"")"),0)</f>
        <v>0</v>
      </c>
      <c r="M77" s="425">
        <f ca="1">IFERROR(__xludf.DUMMYFUNCTION("IMPORTRANGE(""https://docs.google.com/spreadsheets/d/1-uDff_7J0KD5mKrp0Vvzr7lt3OU09vwQwhkpOPPYv2Y/edit?usp=sharing"",""งบพรบ!AR14"")"),0)</f>
        <v>0</v>
      </c>
      <c r="N77" s="425">
        <f ca="1">IFERROR(__xludf.DUMMYFUNCTION("IMPORTRANGE(""https://docs.google.com/spreadsheets/d/1-uDff_7J0KD5mKrp0Vvzr7lt3OU09vwQwhkpOPPYv2Y/edit?usp=sharing"",""งบพรบ!AT14"")"),0)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IFERROR(__xludf.DUMMYFUNCTION("IMPORTRANGE(""https://docs.google.com/spreadsheets/d/1-uDff_7J0KD5mKrp0Vvzr7lt3OU09vwQwhkpOPPYv2Y/edit?usp=sharing"",""งบพรบ!AP14"")"),0)</f>
        <v>0</v>
      </c>
      <c r="M80" s="425">
        <f ca="1">IFERROR(__xludf.DUMMYFUNCTION("IMPORTRANGE(""https://docs.google.com/spreadsheets/d/1-uDff_7J0KD5mKrp0Vvzr7lt3OU09vwQwhkpOPPYv2Y/edit?usp=sharing"",""งบพรบ!AS14"")"),0)</f>
        <v>0</v>
      </c>
      <c r="N80" s="425">
        <f ca="1">IFERROR(__xludf.DUMMYFUNCTION("IMPORTRANGE(""https://docs.google.com/spreadsheets/d/1-uDff_7J0KD5mKrp0Vvzr7lt3OU09vwQwhkpOPPYv2Y/edit?usp=sharing"",""งบพรบ!AU14"")"),0)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IFERROR(__xludf.DUMMYFUNCTION("IMPORTRANGE(""https://docs.google.com/spreadsheets/d/1eHaY18a8A9IcSdp1K8H6x8fbOy06t2VsZHhMHf-1x7Y/edit?usp=sharing"",""แผน!H14"")"),0)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IFERROR(__xludf.DUMMYFUNCTION("IMPORTRANGE(""https://docs.google.com/spreadsheets/d/1eHaY18a8A9IcSdp1K8H6x8fbOy06t2VsZHhMHf-1x7Y/edit?usp=sharing"",""แผน!I14"")"),0)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IFERROR(__xludf.DUMMYFUNCTION("IMPORTRANGE(""https://docs.google.com/spreadsheets/d/1eHaY18a8A9IcSdp1K8H6x8fbOy06t2VsZHhMHf-1x7Y/edit?usp=sharing"",""แผน!F14"")"),0)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IFERROR(__xludf.DUMMYFUNCTION("IMPORTRANGE(""https://docs.google.com/spreadsheets/d/1eHaY18a8A9IcSdp1K8H6x8fbOy06t2VsZHhMHf-1x7Y/edit?usp=sharing"",""แผน!G14"")"),0)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IFERROR(__xludf.DUMMYFUNCTION("IMPORTRANGE(""https://docs.google.com/spreadsheets/d/1eHaY18a8A9IcSdp1K8H6x8fbOy06t2VsZHhMHf-1x7Y/edit?usp=sharing"",""แผน!D14"")"),0)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IFERROR(__xludf.DUMMYFUNCTION("IMPORTRANGE(""https://docs.google.com/spreadsheets/d/1eHaY18a8A9IcSdp1K8H6x8fbOy06t2VsZHhMHf-1x7Y/edit?usp=sharing"",""แผน!E14"")"),0)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IFERROR(__xludf.DUMMYFUNCTION("IMPORTRANGE(""https://docs.google.com/spreadsheets/d/1eHaY18a8A9IcSdp1K8H6x8fbOy06t2VsZHhMHf-1x7Y/edit?usp=sharing"",""แผน!J14"")"),0)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IFERROR(__xludf.DUMMYFUNCTION("IMPORTRANGE(""https://docs.google.com/spreadsheets/d/1-uDff_7J0KD5mKrp0Vvzr7lt3OU09vwQwhkpOPPYv2Y/edit?usp=sharing"",""งบพรบ!AW14"")"),0)</f>
        <v>0</v>
      </c>
      <c r="M99" s="425">
        <f ca="1">IFERROR(__xludf.DUMMYFUNCTION("IMPORTRANGE(""https://docs.google.com/spreadsheets/d/1-uDff_7J0KD5mKrp0Vvzr7lt3OU09vwQwhkpOPPYv2Y/edit?usp=sharing"",""งบพรบ!BB14"")"),0)</f>
        <v>0</v>
      </c>
      <c r="N99" s="425">
        <f ca="1">IFERROR(__xludf.DUMMYFUNCTION("IMPORTRANGE(""https://docs.google.com/spreadsheets/d/1-uDff_7J0KD5mKrp0Vvzr7lt3OU09vwQwhkpOPPYv2Y/edit?usp=sharing"",""งบพรบ!BD14"")"),0)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IFERROR(__xludf.DUMMYFUNCTION("IMPORTRANGE(""https://docs.google.com/spreadsheets/d/1-uDff_7J0KD5mKrp0Vvzr7lt3OU09vwQwhkpOPPYv2Y/edit?usp=sharing"",""งบพรบ!AZ14"")"),0)</f>
        <v>0</v>
      </c>
      <c r="M102" s="425">
        <f ca="1">IFERROR(__xludf.DUMMYFUNCTION("IMPORTRANGE(""https://docs.google.com/spreadsheets/d/1-uDff_7J0KD5mKrp0Vvzr7lt3OU09vwQwhkpOPPYv2Y/edit?usp=sharing"",""งบพรบ!BC14"")"),0)</f>
        <v>0</v>
      </c>
      <c r="N102" s="425">
        <f ca="1">IFERROR(__xludf.DUMMYFUNCTION("IMPORTRANGE(""https://docs.google.com/spreadsheets/d/1-uDff_7J0KD5mKrp0Vvzr7lt3OU09vwQwhkpOPPYv2Y/edit?usp=sharing"",""งบพรบ!BE14"")"),0)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IFERROR(__xludf.DUMMYFUNCTION("IMPORTRANGE(""https://docs.google.com/spreadsheets/d/1eHaY18a8A9IcSdp1K8H6x8fbOy06t2VsZHhMHf-1x7Y/edit?usp=sharing"",""แผน!N14"")"),0)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IFERROR(__xludf.DUMMYFUNCTION("IMPORTRANGE(""https://docs.google.com/spreadsheets/d/1eHaY18a8A9IcSdp1K8H6x8fbOy06t2VsZHhMHf-1x7Y/edit?usp=sharing"",""แผน!O14"")"),0)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IFERROR(__xludf.DUMMYFUNCTION("IMPORTRANGE(""https://docs.google.com/spreadsheets/d/1eHaY18a8A9IcSdp1K8H6x8fbOy06t2VsZHhMHf-1x7Y/edit?usp=sharing"",""แผน!R14"")"),0)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IFERROR(__xludf.DUMMYFUNCTION("IMPORTRANGE(""https://docs.google.com/spreadsheets/d/1-uDff_7J0KD5mKrp0Vvzr7lt3OU09vwQwhkpOPPYv2Y/edit?usp=sharing"",""งบพรบ!BG14"")"),0)</f>
        <v>0</v>
      </c>
      <c r="M130" s="723">
        <f ca="1">IFERROR(__xludf.DUMMYFUNCTION("IMPORTRANGE(""https://docs.google.com/spreadsheets/d/1-uDff_7J0KD5mKrp0Vvzr7lt3OU09vwQwhkpOPPYv2Y/edit?usp=sharing"",""งบพรบ!BL14"")"),0)</f>
        <v>0</v>
      </c>
      <c r="N130" s="723">
        <f ca="1">IFERROR(__xludf.DUMMYFUNCTION("IMPORTRANGE(""https://docs.google.com/spreadsheets/d/1-uDff_7J0KD5mKrp0Vvzr7lt3OU09vwQwhkpOPPYv2Y/edit?usp=sharing"",""งบพรบ!BN14"")"),0)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IFERROR(__xludf.DUMMYFUNCTION("IMPORTRANGE(""https://docs.google.com/spreadsheets/d/1-uDff_7J0KD5mKrp0Vvzr7lt3OU09vwQwhkpOPPYv2Y/edit?usp=sharing"",""งบพรบ!BJ14"")"),0)</f>
        <v>0</v>
      </c>
      <c r="M133" s="723">
        <f ca="1">IFERROR(__xludf.DUMMYFUNCTION("IMPORTRANGE(""https://docs.google.com/spreadsheets/d/1-uDff_7J0KD5mKrp0Vvzr7lt3OU09vwQwhkpOPPYv2Y/edit?usp=sharing"",""งบพรบ!BM14"")"),0)</f>
        <v>0</v>
      </c>
      <c r="N133" s="723">
        <f ca="1">IFERROR(__xludf.DUMMYFUNCTION("IMPORTRANGE(""https://docs.google.com/spreadsheets/d/1-uDff_7J0KD5mKrp0Vvzr7lt3OU09vwQwhkpOPPYv2Y/edit?usp=sharing"",""งบพรบ!BO14"")"),0)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IFERROR(__xludf.DUMMYFUNCTION("IMPORTRANGE(""https://docs.google.com/spreadsheets/d/1-uDff_7J0KD5mKrp0Vvzr7lt3OU09vwQwhkpOPPYv2Y/edit?usp=sharing"",""งบพรบ!BQ14"")"),0)</f>
        <v>0</v>
      </c>
      <c r="M144" s="425">
        <f ca="1">IFERROR(__xludf.DUMMYFUNCTION("IMPORTRANGE(""https://docs.google.com/spreadsheets/d/1-uDff_7J0KD5mKrp0Vvzr7lt3OU09vwQwhkpOPPYv2Y/edit?usp=sharing"",""งบพรบ!BV14"")"),0)</f>
        <v>0</v>
      </c>
      <c r="N144" s="425">
        <f ca="1">IFERROR(__xludf.DUMMYFUNCTION("IMPORTRANGE(""https://docs.google.com/spreadsheets/d/1-uDff_7J0KD5mKrp0Vvzr7lt3OU09vwQwhkpOPPYv2Y/edit?usp=sharing"",""งบพรบ!BX14"")"),0)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IFERROR(__xludf.DUMMYFUNCTION("IMPORTRANGE(""https://docs.google.com/spreadsheets/d/1-uDff_7J0KD5mKrp0Vvzr7lt3OU09vwQwhkpOPPYv2Y/edit?usp=sharing"",""งบพรบ!BT14"")"),0)</f>
        <v>0</v>
      </c>
      <c r="M147" s="425">
        <f ca="1">IFERROR(__xludf.DUMMYFUNCTION("IMPORTRANGE(""https://docs.google.com/spreadsheets/d/1-uDff_7J0KD5mKrp0Vvzr7lt3OU09vwQwhkpOPPYv2Y/edit?usp=sharing"",""งบพรบ!BW14"")"),0)</f>
        <v>0</v>
      </c>
      <c r="N147" s="425">
        <f ca="1">IFERROR(__xludf.DUMMYFUNCTION("IMPORTRANGE(""https://docs.google.com/spreadsheets/d/1-uDff_7J0KD5mKrp0Vvzr7lt3OU09vwQwhkpOPPYv2Y/edit?usp=sharing"",""งบพรบ!BY14"")"),0)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IFERROR(__xludf.DUMMYFUNCTION("IMPORTRANGE(""https://docs.google.com/spreadsheets/d/1eHaY18a8A9IcSdp1K8H6x8fbOy06t2VsZHhMHf-1x7Y/edit?usp=sharing"",""แผน!U14"")"),0)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IFERROR(__xludf.DUMMYFUNCTION("IMPORTRANGE(""https://docs.google.com/spreadsheets/d/1eHaY18a8A9IcSdp1K8H6x8fbOy06t2VsZHhMHf-1x7Y/edit?usp=sharing"",""แผน!V14"")"),0)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IFERROR(__xludf.DUMMYFUNCTION("IMPORTRANGE(""https://docs.google.com/spreadsheets/d/1eHaY18a8A9IcSdp1K8H6x8fbOy06t2VsZHhMHf-1x7Y/edit?usp=sharing"",""แผน!W14"")"),0)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IFERROR(__xludf.DUMMYFUNCTION("IMPORTRANGE(""https://docs.google.com/spreadsheets/d/1eHaY18a8A9IcSdp1K8H6x8fbOy06t2VsZHhMHf-1x7Y/edit?usp=sharing"",""แผน!X14"")"),0)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IFERROR(__xludf.DUMMYFUNCTION("IMPORTRANGE(""https://docs.google.com/spreadsheets/d/1eHaY18a8A9IcSdp1K8H6x8fbOy06t2VsZHhMHf-1x7Y/edit?usp=sharing"",""แผน!Y14"")"),0)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IFERROR(__xludf.DUMMYFUNCTION("IMPORTRANGE(""https://docs.google.com/spreadsheets/d/1-uDff_7J0KD5mKrp0Vvzr7lt3OU09vwQwhkpOPPYv2Y/edit?usp=sharing"",""งบพรบ!CA14"")"),0)</f>
        <v>0</v>
      </c>
      <c r="M162" s="425">
        <f ca="1">IFERROR(__xludf.DUMMYFUNCTION("IMPORTRANGE(""https://docs.google.com/spreadsheets/d/1-uDff_7J0KD5mKrp0Vvzr7lt3OU09vwQwhkpOPPYv2Y/edit?usp=sharing"",""งบพรบ!CF14"")"),0)</f>
        <v>0</v>
      </c>
      <c r="N162" s="425">
        <f ca="1">IFERROR(__xludf.DUMMYFUNCTION("IMPORTRANGE(""https://docs.google.com/spreadsheets/d/1-uDff_7J0KD5mKrp0Vvzr7lt3OU09vwQwhkpOPPYv2Y/edit?usp=sharing"",""งบพรบ!CH14"")"),0)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IFERROR(__xludf.DUMMYFUNCTION("IMPORTRANGE(""https://docs.google.com/spreadsheets/d/1-uDff_7J0KD5mKrp0Vvzr7lt3OU09vwQwhkpOPPYv2Y/edit?usp=sharing"",""งบพรบ!CD14"")"),0)</f>
        <v>0</v>
      </c>
      <c r="M165" s="425">
        <f ca="1">IFERROR(__xludf.DUMMYFUNCTION("IMPORTRANGE(""https://docs.google.com/spreadsheets/d/1-uDff_7J0KD5mKrp0Vvzr7lt3OU09vwQwhkpOPPYv2Y/edit?usp=sharing"",""งบพรบ!CG14"")"),0)</f>
        <v>0</v>
      </c>
      <c r="N165" s="425">
        <f ca="1">IFERROR(__xludf.DUMMYFUNCTION("IMPORTRANGE(""https://docs.google.com/spreadsheets/d/1-uDff_7J0KD5mKrp0Vvzr7lt3OU09vwQwhkpOPPYv2Y/edit?usp=sharing"",""งบพรบ!CI14"")"),0)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IFERROR(__xludf.DUMMYFUNCTION("IMPORTRANGE(""https://docs.google.com/spreadsheets/d/1eHaY18a8A9IcSdp1K8H6x8fbOy06t2VsZHhMHf-1x7Y/edit?usp=sharing"",""แผน!Z14"")"),0)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IFERROR(__xludf.DUMMYFUNCTION("IMPORTRANGE(""https://docs.google.com/spreadsheets/d/1eHaY18a8A9IcSdp1K8H6x8fbOy06t2VsZHhMHf-1x7Y/edit?usp=sharing"",""แผน!Z14"")"),0)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IFERROR(__xludf.DUMMYFUNCTION("IMPORTRANGE(""https://docs.google.com/spreadsheets/d/1eHaY18a8A9IcSdp1K8H6x8fbOy06t2VsZHhMHf-1x7Y/edit?usp=sharing"",""แผน!Z14"")"),0)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IFERROR(__xludf.DUMMYFUNCTION("IMPORTRANGE(""https://docs.google.com/spreadsheets/d/1-uDff_7J0KD5mKrp0Vvzr7lt3OU09vwQwhkpOPPYv2Y/edit?usp=sharing"",""งบพรบ!CK14"")"),19590)</f>
        <v>19590</v>
      </c>
      <c r="M178" s="425">
        <f ca="1">IFERROR(__xludf.DUMMYFUNCTION("IMPORTRANGE(""https://docs.google.com/spreadsheets/d/1-uDff_7J0KD5mKrp0Vvzr7lt3OU09vwQwhkpOPPYv2Y/edit?usp=sharing"",""งบพรบ!CP14"")"),19590)</f>
        <v>19590</v>
      </c>
      <c r="N178" s="425">
        <f ca="1">IFERROR(__xludf.DUMMYFUNCTION("IMPORTRANGE(""https://docs.google.com/spreadsheets/d/1-uDff_7J0KD5mKrp0Vvzr7lt3OU09vwQwhkpOPPYv2Y/edit?usp=sharing"",""งบพรบ!CR14"")"),0)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IFERROR(__xludf.DUMMYFUNCTION("IMPORTRANGE(""https://docs.google.com/spreadsheets/d/1-uDff_7J0KD5mKrp0Vvzr7lt3OU09vwQwhkpOPPYv2Y/edit?usp=sharing"",""งบพรบ!CN14"")"),0)</f>
        <v>0</v>
      </c>
      <c r="M181" s="425">
        <f ca="1">IFERROR(__xludf.DUMMYFUNCTION("IMPORTRANGE(""https://docs.google.com/spreadsheets/d/1-uDff_7J0KD5mKrp0Vvzr7lt3OU09vwQwhkpOPPYv2Y/edit?usp=sharing"",""งบพรบ!CQ14"")"),0)</f>
        <v>0</v>
      </c>
      <c r="N181" s="425">
        <f ca="1">IFERROR(__xludf.DUMMYFUNCTION("IMPORTRANGE(""https://docs.google.com/spreadsheets/d/1-uDff_7J0KD5mKrp0Vvzr7lt3OU09vwQwhkpOPPYv2Y/edit?usp=sharing"",""งบพรบ!CS14"")"),0)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IFERROR(__xludf.DUMMYFUNCTION("IMPORTRANGE(""https://docs.google.com/spreadsheets/d/1eHaY18a8A9IcSdp1K8H6x8fbOy06t2VsZHhMHf-1x7Y/edit?usp=sharing"",""แผน!AA14"")"),7)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235500</v>
      </c>
      <c r="M186" s="577">
        <f ca="1">M187+M188</f>
        <v>161500</v>
      </c>
      <c r="N186" s="577">
        <f ca="1">N187+N188</f>
        <v>53000</v>
      </c>
      <c r="O186" s="577">
        <f ca="1">IF(L186&gt;0,N186*100/L186,0)</f>
        <v>22.505307855626327</v>
      </c>
      <c r="P186" s="577">
        <f ca="1">IF(M186&gt;0,N186*100/M186,0)</f>
        <v>32.817337461300312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235500</v>
      </c>
      <c r="M188" s="425">
        <f ca="1">M191+M194</f>
        <v>161500</v>
      </c>
      <c r="N188" s="425">
        <f ca="1">N191+N194</f>
        <v>53000</v>
      </c>
      <c r="O188" s="425">
        <f ca="1">IF(L188&gt;0,N188*100/L188,0)</f>
        <v>22.505307855626327</v>
      </c>
      <c r="P188" s="425">
        <f ca="1">IF(M188&gt;0,N188*100/M188,0)</f>
        <v>32.817337461300312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235500</v>
      </c>
      <c r="M189" s="425">
        <f ca="1">M190+M191</f>
        <v>161500</v>
      </c>
      <c r="N189" s="425">
        <f ca="1">N190+N191</f>
        <v>53000</v>
      </c>
      <c r="O189" s="425">
        <f ca="1">IF(L189&gt;0,N189*100/L189,0)</f>
        <v>22.505307855626327</v>
      </c>
      <c r="P189" s="425">
        <f ca="1">IF(M189&gt;0,N189*100/M189,0)</f>
        <v>32.817337461300312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IFERROR(__xludf.DUMMYFUNCTION("IMPORTRANGE(""https://docs.google.com/spreadsheets/d/1-uDff_7J0KD5mKrp0Vvzr7lt3OU09vwQwhkpOPPYv2Y/edit?usp=sharing"",""งบพรบ!CU14"")"),235500)</f>
        <v>235500</v>
      </c>
      <c r="M191" s="425">
        <f ca="1">IFERROR(__xludf.DUMMYFUNCTION("IMPORTRANGE(""https://docs.google.com/spreadsheets/d/1-uDff_7J0KD5mKrp0Vvzr7lt3OU09vwQwhkpOPPYv2Y/edit?usp=sharing"",""งบพรบ!CZ14"")"),161500)</f>
        <v>161500</v>
      </c>
      <c r="N191" s="425">
        <f ca="1">IFERROR(__xludf.DUMMYFUNCTION("IMPORTRANGE(""https://docs.google.com/spreadsheets/d/1-uDff_7J0KD5mKrp0Vvzr7lt3OU09vwQwhkpOPPYv2Y/edit?usp=sharing"",""งบพรบ!DB14"")"),53000)</f>
        <v>53000</v>
      </c>
      <c r="O191" s="425">
        <f ca="1">IF(L191&gt;0,N191*100/L191,0)</f>
        <v>22.505307855626327</v>
      </c>
      <c r="P191" s="425">
        <f ca="1">IF(M191&gt;0,N191*100/M191,0)</f>
        <v>32.817337461300312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IFERROR(__xludf.DUMMYFUNCTION("IMPORTRANGE(""https://docs.google.com/spreadsheets/d/1-uDff_7J0KD5mKrp0Vvzr7lt3OU09vwQwhkpOPPYv2Y/edit?usp=sharing"",""งบพรบ!CX14"")"),0)</f>
        <v>0</v>
      </c>
      <c r="M194" s="425">
        <f ca="1">IFERROR(__xludf.DUMMYFUNCTION("IMPORTRANGE(""https://docs.google.com/spreadsheets/d/1-uDff_7J0KD5mKrp0Vvzr7lt3OU09vwQwhkpOPPYv2Y/edit?usp=sharing"",""งบพรบ!DA14"")"),0)</f>
        <v>0</v>
      </c>
      <c r="N194" s="425">
        <f ca="1">IFERROR(__xludf.DUMMYFUNCTION("IMPORTRANGE(""https://docs.google.com/spreadsheets/d/1-uDff_7J0KD5mKrp0Vvzr7lt3OU09vwQwhkpOPPYv2Y/edit?usp=sharing"",""งบพรบ!DC14"")"),0)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IFERROR(__xludf.DUMMYFUNCTION("IMPORTRANGE(""https://docs.google.com/spreadsheets/d/1eHaY18a8A9IcSdp1K8H6x8fbOy06t2VsZHhMHf-1x7Y/edit?usp=sharing"",""แผน!AB14"")"),6000)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IFERROR(__xludf.DUMMYFUNCTION("IMPORTRANGE(""https://docs.google.com/spreadsheets/d/1eHaY18a8A9IcSdp1K8H6x8fbOy06t2VsZHhMHf-1x7Y/edit?usp=sharing"",""แผน!AE14"")"),4)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3</v>
      </c>
      <c r="J202" s="438">
        <f>J209</f>
        <v>3</v>
      </c>
      <c r="K202" s="439">
        <f ca="1">IF(I202&gt;0,J202*100/I202,0)</f>
        <v>100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39000</v>
      </c>
      <c r="M203" s="428"/>
      <c r="N203" s="577">
        <f>N204+N205+N206+N207</f>
        <v>27000</v>
      </c>
      <c r="O203" s="577">
        <f ca="1">IF(L203&gt;0,N203*100/L203,0)</f>
        <v>69.230769230769226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3" t="s">
        <v>80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IFERROR(__xludf.DUMMYFUNCTION("IMPORTRANGE(""https://docs.google.com/spreadsheets/d/1eHaY18a8A9IcSdp1K8H6x8fbOy06t2VsZHhMHf-1x7Y/edit?usp=sharing"",""แผน!AG14"")"),3000)</f>
        <v>3000</v>
      </c>
      <c r="M204" s="428"/>
      <c r="N204" s="683">
        <v>3000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IFERROR(__xludf.DUMMYFUNCTION("IMPORTRANGE(""https://docs.google.com/spreadsheets/d/1eHaY18a8A9IcSdp1K8H6x8fbOy06t2VsZHhMHf-1x7Y/edit?usp=sharing"",""แผน!AH14"")"),0)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IFERROR(__xludf.DUMMYFUNCTION("IMPORTRANGE(""https://docs.google.com/spreadsheets/d/1eHaY18a8A9IcSdp1K8H6x8fbOy06t2VsZHhMHf-1x7Y/edit?usp=sharing"",""แผน!AI14"")"),24000)</f>
        <v>24000</v>
      </c>
      <c r="M206" s="428"/>
      <c r="N206" s="683">
        <v>24000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IFERROR(__xludf.DUMMYFUNCTION("IMPORTRANGE(""https://docs.google.com/spreadsheets/d/1eHaY18a8A9IcSdp1K8H6x8fbOy06t2VsZHhMHf-1x7Y/edit?usp=sharing"",""แผน!AJ14"")"),12000)</f>
        <v>12000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IFERROR(__xludf.DUMMYFUNCTION("IMPORTRANGE(""https://docs.google.com/spreadsheets/d/1eHaY18a8A9IcSdp1K8H6x8fbOy06t2VsZHhMHf-1x7Y/edit?usp=sharing"",""แผน!AK14"")"),3)</f>
        <v>3</v>
      </c>
      <c r="J209" s="595">
        <v>3</v>
      </c>
      <c r="K209" s="621">
        <f ca="1">IF(I209&gt;0,J209*100/I209,0)</f>
        <v>100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IFERROR(__xludf.DUMMYFUNCTION("IMPORTRANGE(""https://docs.google.com/spreadsheets/d/1eHaY18a8A9IcSdp1K8H6x8fbOy06t2VsZHhMHf-1x7Y/edit?usp=sharing"",""แผน!JX14"")"),3)</f>
        <v>3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IFERROR(__xludf.DUMMYFUNCTION("IMPORTRANGE(""https://docs.google.com/spreadsheets/d/1eHaY18a8A9IcSdp1K8H6x8fbOy06t2VsZHhMHf-1x7Y/edit?usp=sharing"",""แผน!JY14"")"),0)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IFERROR(__xludf.DUMMYFUNCTION("IMPORTRANGE(""https://docs.google.com/spreadsheets/d/1eHaY18a8A9IcSdp1K8H6x8fbOy06t2VsZHhMHf-1x7Y/edit?usp=sharing"",""แผน!AM14"")"),0)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IFERROR(__xludf.DUMMYFUNCTION("IMPORTRANGE(""https://docs.google.com/spreadsheets/d/1eHaY18a8A9IcSdp1K8H6x8fbOy06t2VsZHhMHf-1x7Y/edit?usp=sharing"",""แผน!AN14"")"),0)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IFERROR(__xludf.DUMMYFUNCTION("IMPORTRANGE(""https://docs.google.com/spreadsheets/d/1eHaY18a8A9IcSdp1K8H6x8fbOy06t2VsZHhMHf-1x7Y/edit?usp=sharing"",""แผน!AO14"")"),0)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IFERROR(__xludf.DUMMYFUNCTION("IMPORTRANGE(""https://docs.google.com/spreadsheets/d/1eHaY18a8A9IcSdp1K8H6x8fbOy06t2VsZHhMHf-1x7Y/edit?usp=sharing"",""แผน!AP14"")"),0)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IFERROR(__xludf.DUMMYFUNCTION("IMPORTRANGE(""https://docs.google.com/spreadsheets/d/1eHaY18a8A9IcSdp1K8H6x8fbOy06t2VsZHhMHf-1x7Y/edit?usp=sharing"",""แผน!AP14"")"),0)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8500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IFERROR(__xludf.DUMMYFUNCTION("IMPORTRANGE(""https://docs.google.com/spreadsheets/d/1eHaY18a8A9IcSdp1K8H6x8fbOy06t2VsZHhMHf-1x7Y/edit?usp=sharing"",""แผน!AR14"")"),7000)</f>
        <v>7000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IFERROR(__xludf.DUMMYFUNCTION("IMPORTRANGE(""https://docs.google.com/spreadsheets/d/1eHaY18a8A9IcSdp1K8H6x8fbOy06t2VsZHhMHf-1x7Y/edit?usp=sharing"",""แผน!AS14"")"),1500)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IFERROR(__xludf.DUMMYFUNCTION("IMPORTRANGE(""https://docs.google.com/spreadsheets/d/1eHaY18a8A9IcSdp1K8H6x8fbOy06t2VsZHhMHf-1x7Y/edit?usp=sharing"",""แผน!AT14"")"),0)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IFERROR(__xludf.DUMMYFUNCTION("IMPORTRANGE(""https://docs.google.com/spreadsheets/d/1eHaY18a8A9IcSdp1K8H6x8fbOy06t2VsZHhMHf-1x7Y/edit?usp=sharing"",""แผน!AV14"")"),50000)</f>
        <v>50000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IFERROR(__xludf.DUMMYFUNCTION("IMPORTRANGE(""https://docs.google.com/spreadsheets/d/1eHaY18a8A9IcSdp1K8H6x8fbOy06t2VsZHhMHf-1x7Y/edit?usp=sharing"",""แผน!AV14"")"),50000)</f>
        <v>50000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IFERROR(__xludf.DUMMYFUNCTION("IMPORTRANGE(""https://docs.google.com/spreadsheets/d/1eHaY18a8A9IcSdp1K8H6x8fbOy06t2VsZHhMHf-1x7Y/edit?usp=sharing"",""แผน!AU14"")"),0)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IFERROR(__xludf.DUMMYFUNCTION("IMPORTRANGE(""https://docs.google.com/spreadsheets/d/1eHaY18a8A9IcSdp1K8H6x8fbOy06t2VsZHhMHf-1x7Y/edit?usp=sharing"",""แผน!AX14"")"),0)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IFERROR(__xludf.DUMMYFUNCTION("IMPORTRANGE(""https://docs.google.com/spreadsheets/d/1eHaY18a8A9IcSdp1K8H6x8fbOy06t2VsZHhMHf-1x7Y/edit?usp=sharing"",""แผน!AY14"")"),0)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IFERROR(__xludf.DUMMYFUNCTION("IMPORTRANGE(""https://docs.google.com/spreadsheets/d/1eHaY18a8A9IcSdp1K8H6x8fbOy06t2VsZHhMHf-1x7Y/edit?usp=sharing"",""แผน!AZ14"")"),0)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IFERROR(__xludf.DUMMYFUNCTION("IMPORTRANGE(""https://docs.google.com/spreadsheets/d/1eHaY18a8A9IcSdp1K8H6x8fbOy06t2VsZHhMHf-1x7Y/edit?usp=sharing"",""แผน!BA14"")"),0)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IFERROR(__xludf.DUMMYFUNCTION("IMPORTRANGE(""https://docs.google.com/spreadsheets/d/1eHaY18a8A9IcSdp1K8H6x8fbOy06t2VsZHhMHf-1x7Y/edit?usp=sharing"",""แผน!BG14"")"),0)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IFERROR(__xludf.DUMMYFUNCTION("IMPORTRANGE(""https://docs.google.com/spreadsheets/d/1eHaY18a8A9IcSdp1K8H6x8fbOy06t2VsZHhMHf-1x7Y/edit?usp=sharing"",""แผน!BB14"")"),0)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IFERROR(__xludf.DUMMYFUNCTION("IMPORTRANGE(""https://docs.google.com/spreadsheets/d/1eHaY18a8A9IcSdp1K8H6x8fbOy06t2VsZHhMHf-1x7Y/edit?usp=sharing"",""แผน!BC14"")"),0)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IFERROR(__xludf.DUMMYFUNCTION("IMPORTRANGE(""https://docs.google.com/spreadsheets/d/1eHaY18a8A9IcSdp1K8H6x8fbOy06t2VsZHhMHf-1x7Y/edit?usp=sharing"",""แผน!BD14"")"),0)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IFERROR(__xludf.DUMMYFUNCTION("IMPORTRANGE(""https://docs.google.com/spreadsheets/d/1eHaY18a8A9IcSdp1K8H6x8fbOy06t2VsZHhMHf-1x7Y/edit?usp=sharing"",""แผน!BE14"")"),0)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IFERROR(__xludf.DUMMYFUNCTION("IMPORTRANGE(""https://docs.google.com/spreadsheets/d/1eHaY18a8A9IcSdp1K8H6x8fbOy06t2VsZHhMHf-1x7Y/edit?usp=sharing"",""แผน!BH14"")"),0)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IFERROR(__xludf.DUMMYFUNCTION("IMPORTRANGE(""https://docs.google.com/spreadsheets/d/1-uDff_7J0KD5mKrp0Vvzr7lt3OU09vwQwhkpOPPYv2Y/edit?usp=sharing"",""งบพรบ!DE14"")"),0)</f>
        <v>0</v>
      </c>
      <c r="M271" s="521">
        <f ca="1">IFERROR(__xludf.DUMMYFUNCTION("IMPORTRANGE(""https://docs.google.com/spreadsheets/d/1-uDff_7J0KD5mKrp0Vvzr7lt3OU09vwQwhkpOPPYv2Y/edit?usp=sharing"",""งบพรบ!DJ14"")"),0)</f>
        <v>0</v>
      </c>
      <c r="N271" s="521">
        <f ca="1">IFERROR(__xludf.DUMMYFUNCTION("IMPORTRANGE(""https://docs.google.com/spreadsheets/d/1-uDff_7J0KD5mKrp0Vvzr7lt3OU09vwQwhkpOPPYv2Y/edit?usp=sharing"",""งบพรบ!DL14"")"),0)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IFERROR(__xludf.DUMMYFUNCTION("IMPORTRANGE(""https://docs.google.com/spreadsheets/d/1-uDff_7J0KD5mKrp0Vvzr7lt3OU09vwQwhkpOPPYv2Y/edit?usp=sharing"",""งบพรบ!DH14"")"),0)</f>
        <v>0</v>
      </c>
      <c r="M274" s="521">
        <f ca="1">IFERROR(__xludf.DUMMYFUNCTION("IMPORTRANGE(""https://docs.google.com/spreadsheets/d/1-uDff_7J0KD5mKrp0Vvzr7lt3OU09vwQwhkpOPPYv2Y/edit?usp=sharing"",""งบพรบ!DK14"")"),0)</f>
        <v>0</v>
      </c>
      <c r="N274" s="521">
        <f ca="1">IFERROR(__xludf.DUMMYFUNCTION("IMPORTRANGE(""https://docs.google.com/spreadsheets/d/1-uDff_7J0KD5mKrp0Vvzr7lt3OU09vwQwhkpOPPYv2Y/edit?usp=sharing"",""งบพรบ!DM14"")"),0)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50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500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197520</v>
      </c>
      <c r="M282" s="577">
        <f ca="1">M283+M284</f>
        <v>162480</v>
      </c>
      <c r="N282" s="577">
        <f ca="1">N283+N284</f>
        <v>32740</v>
      </c>
      <c r="O282" s="577">
        <f ca="1">IF(L282&gt;0,N282*100/L282,0)</f>
        <v>16.575536654516</v>
      </c>
      <c r="P282" s="577">
        <f ca="1">IF(M282&gt;0,N282*100/M282,0)</f>
        <v>20.15017232890202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197520</v>
      </c>
      <c r="M284" s="425">
        <f ca="1">M287+M290</f>
        <v>162480</v>
      </c>
      <c r="N284" s="425">
        <f ca="1">N287+N290</f>
        <v>32740</v>
      </c>
      <c r="O284" s="425">
        <f ca="1">IF(L284&gt;0,N284*100/L284,0)</f>
        <v>16.575536654516</v>
      </c>
      <c r="P284" s="425">
        <f ca="1">IF(M284&gt;0,N284*100/M284,0)</f>
        <v>20.15017232890202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197520</v>
      </c>
      <c r="M285" s="425">
        <f ca="1">M286+M287</f>
        <v>162480</v>
      </c>
      <c r="N285" s="425">
        <f ca="1">N286+N287</f>
        <v>32740</v>
      </c>
      <c r="O285" s="425">
        <f ca="1">IF(L285&gt;0,N285*100/L285,0)</f>
        <v>16.575536654516</v>
      </c>
      <c r="P285" s="425">
        <f ca="1">IF(M285&gt;0,N285*100/M285,0)</f>
        <v>20.15017232890202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IFERROR(__xludf.DUMMYFUNCTION("IMPORTRANGE(""https://docs.google.com/spreadsheets/d/1-uDff_7J0KD5mKrp0Vvzr7lt3OU09vwQwhkpOPPYv2Y/edit?usp=sharing"",""งบพรบ!DO14"")"),197520)</f>
        <v>197520</v>
      </c>
      <c r="M287" s="425">
        <f ca="1">IFERROR(__xludf.DUMMYFUNCTION("IMPORTRANGE(""https://docs.google.com/spreadsheets/d/1-uDff_7J0KD5mKrp0Vvzr7lt3OU09vwQwhkpOPPYv2Y/edit?usp=sharing"",""งบพรบ!DT14"")"),162480)</f>
        <v>162480</v>
      </c>
      <c r="N287" s="425">
        <f ca="1">IFERROR(__xludf.DUMMYFUNCTION("IMPORTRANGE(""https://docs.google.com/spreadsheets/d/1-uDff_7J0KD5mKrp0Vvzr7lt3OU09vwQwhkpOPPYv2Y/edit?usp=sharing"",""งบพรบ!DV14"")"),32740)</f>
        <v>32740</v>
      </c>
      <c r="O287" s="425">
        <f ca="1">IF(L287&gt;0,N287*100/L287,0)</f>
        <v>16.575536654516</v>
      </c>
      <c r="P287" s="425">
        <f ca="1">IF(M287&gt;0,N287*100/M287,0)</f>
        <v>20.15017232890202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IFERROR(__xludf.DUMMYFUNCTION("IMPORTRANGE(""https://docs.google.com/spreadsheets/d/1-uDff_7J0KD5mKrp0Vvzr7lt3OU09vwQwhkpOPPYv2Y/edit?usp=sharing"",""งบพรบ!DR14"")"),0)</f>
        <v>0</v>
      </c>
      <c r="M290" s="425">
        <f ca="1">IFERROR(__xludf.DUMMYFUNCTION("IMPORTRANGE(""https://docs.google.com/spreadsheets/d/1-uDff_7J0KD5mKrp0Vvzr7lt3OU09vwQwhkpOPPYv2Y/edit?usp=sharing"",""งบพรบ!DU14"")"),0)</f>
        <v>0</v>
      </c>
      <c r="N290" s="425">
        <f ca="1">IFERROR(__xludf.DUMMYFUNCTION("IMPORTRANGE(""https://docs.google.com/spreadsheets/d/1-uDff_7J0KD5mKrp0Vvzr7lt3OU09vwQwhkpOPPYv2Y/edit?usp=sharing"",""งบพรบ!DW14"")"),0)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IFERROR(__xludf.DUMMYFUNCTION("IMPORTRANGE(""https://docs.google.com/spreadsheets/d/1eHaY18a8A9IcSdp1K8H6x8fbOy06t2VsZHhMHf-1x7Y/edit?usp=sharing"",""แผน!EE14"")"),500)</f>
        <v>500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IFERROR(__xludf.DUMMYFUNCTION("IMPORTRANGE(""https://docs.google.com/spreadsheets/d/1eHaY18a8A9IcSdp1K8H6x8fbOy06t2VsZHhMHf-1x7Y/edit?usp=sharing"",""แผน!ED14"")"),50)</f>
        <v>50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IFERROR(__xludf.DUMMYFUNCTION("IMPORTRANGE(""https://docs.google.com/spreadsheets/d/1eHaY18a8A9IcSdp1K8H6x8fbOy06t2VsZHhMHf-1x7Y/edit?usp=sharing"",""แผน!ED14"")"),50)</f>
        <v>50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IFERROR(__xludf.DUMMYFUNCTION("IMPORTRANGE(""https://docs.google.com/spreadsheets/d/1eHaY18a8A9IcSdp1K8H6x8fbOy06t2VsZHhMHf-1x7Y/edit?usp=sharing"",""แผน!ED14"")"),50)</f>
        <v>50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184600</v>
      </c>
      <c r="M303" s="577">
        <f ca="1">M304+M305</f>
        <v>137400</v>
      </c>
      <c r="N303" s="577">
        <f ca="1">N304+N305</f>
        <v>14600</v>
      </c>
      <c r="O303" s="577">
        <f ca="1">IF(L303&gt;0,N303*100/L303,0)</f>
        <v>7.9089924160346694</v>
      </c>
      <c r="P303" s="577">
        <f ca="1">IF(M303&gt;0,N303*100/M303,0)</f>
        <v>10.625909752547306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184600</v>
      </c>
      <c r="M305" s="425">
        <f ca="1">M308+M311</f>
        <v>137400</v>
      </c>
      <c r="N305" s="425">
        <f ca="1">N308+N311</f>
        <v>14600</v>
      </c>
      <c r="O305" s="425">
        <f ca="1">IF(L305&gt;0,N305*100/L305,0)</f>
        <v>7.9089924160346694</v>
      </c>
      <c r="P305" s="425">
        <f ca="1">IF(M305&gt;0,N305*100/M305,0)</f>
        <v>10.625909752547306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184600</v>
      </c>
      <c r="M306" s="425">
        <f ca="1">M307+M308</f>
        <v>137400</v>
      </c>
      <c r="N306" s="425">
        <f ca="1">N307+N308</f>
        <v>14600</v>
      </c>
      <c r="O306" s="425">
        <f ca="1">IF(L306&gt;0,N306*100/L306,0)</f>
        <v>7.9089924160346694</v>
      </c>
      <c r="P306" s="425">
        <f ca="1">IF(M306&gt;0,N306*100/M306,0)</f>
        <v>10.625909752547306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IFERROR(__xludf.DUMMYFUNCTION("IMPORTRANGE(""https://docs.google.com/spreadsheets/d/1-uDff_7J0KD5mKrp0Vvzr7lt3OU09vwQwhkpOPPYv2Y/edit?usp=sharing"",""งบพรบ!DY14"")"),184600)</f>
        <v>184600</v>
      </c>
      <c r="M308" s="425">
        <f ca="1">IFERROR(__xludf.DUMMYFUNCTION("IMPORTRANGE(""https://docs.google.com/spreadsheets/d/1-uDff_7J0KD5mKrp0Vvzr7lt3OU09vwQwhkpOPPYv2Y/edit?usp=sharing"",""งบพรบ!ED14"")"),137400)</f>
        <v>137400</v>
      </c>
      <c r="N308" s="425">
        <f ca="1">IFERROR(__xludf.DUMMYFUNCTION("IMPORTRANGE(""https://docs.google.com/spreadsheets/d/1-uDff_7J0KD5mKrp0Vvzr7lt3OU09vwQwhkpOPPYv2Y/edit?usp=sharing"",""งบพรบ!EF14"")"),14600)</f>
        <v>14600</v>
      </c>
      <c r="O308" s="425">
        <f ca="1">IF(L308&gt;0,N308*100/L308,0)</f>
        <v>7.9089924160346694</v>
      </c>
      <c r="P308" s="425">
        <f ca="1">IF(M308&gt;0,N308*100/M308,0)</f>
        <v>10.625909752547306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IFERROR(__xludf.DUMMYFUNCTION("IMPORTRANGE(""https://docs.google.com/spreadsheets/d/1-uDff_7J0KD5mKrp0Vvzr7lt3OU09vwQwhkpOPPYv2Y/edit?usp=sharing"",""งบพรบ!EB14"")"),0)</f>
        <v>0</v>
      </c>
      <c r="M311" s="425">
        <f ca="1">IFERROR(__xludf.DUMMYFUNCTION("IMPORTRANGE(""https://docs.google.com/spreadsheets/d/1-uDff_7J0KD5mKrp0Vvzr7lt3OU09vwQwhkpOPPYv2Y/edit?usp=sharing"",""งบพรบ!EE14"")"),0)</f>
        <v>0</v>
      </c>
      <c r="N311" s="425">
        <f ca="1">IFERROR(__xludf.DUMMYFUNCTION("IMPORTRANGE(""https://docs.google.com/spreadsheets/d/1-uDff_7J0KD5mKrp0Vvzr7lt3OU09vwQwhkpOPPYv2Y/edit?usp=sharing"",""งบพรบ!EG14"")"),0)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IFERROR(__xludf.DUMMYFUNCTION("IMPORTRANGE(""https://docs.google.com/spreadsheets/d/1eHaY18a8A9IcSdp1K8H6x8fbOy06t2VsZHhMHf-1x7Y/edit?usp=sharing"",""แผน!EF14"")"),20)</f>
        <v>20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IFERROR(__xludf.DUMMYFUNCTION("IMPORTRANGE(""https://docs.google.com/spreadsheets/d/1eHaY18a8A9IcSdp1K8H6x8fbOy06t2VsZHhMHf-1x7Y/edit?usp=sharing"",""แผน!EG14"")"),4)</f>
        <v>4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IFERROR(__xludf.DUMMYFUNCTION("IMPORTRANGE(""https://docs.google.com/spreadsheets/d/1eHaY18a8A9IcSdp1K8H6x8fbOy06t2VsZHhMHf-1x7Y/edit?usp=sharing"",""แผน!EH14"")"),20)</f>
        <v>20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IFERROR(__xludf.DUMMYFUNCTION("IMPORTRANGE(""https://docs.google.com/spreadsheets/d/1eHaY18a8A9IcSdp1K8H6x8fbOy06t2VsZHhMHf-1x7Y/edit?usp=sharing"",""แผน!EI14"")"),4)</f>
        <v>4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IFERROR(__xludf.DUMMYFUNCTION("IMPORTRANGE(""https://docs.google.com/spreadsheets/d/1-uDff_7J0KD5mKrp0Vvzr7lt3OU09vwQwhkpOPPYv2Y/edit?usp=sharing"",""งบพรบ!EI14"")"),0)</f>
        <v>0</v>
      </c>
      <c r="M325" s="425">
        <f ca="1">IFERROR(__xludf.DUMMYFUNCTION("IMPORTRANGE(""https://docs.google.com/spreadsheets/d/1-uDff_7J0KD5mKrp0Vvzr7lt3OU09vwQwhkpOPPYv2Y/edit?usp=sharing"",""งบพรบ!EN14"")"),0)</f>
        <v>0</v>
      </c>
      <c r="N325" s="425">
        <f ca="1">IFERROR(__xludf.DUMMYFUNCTION("IMPORTRANGE(""https://docs.google.com/spreadsheets/d/1-uDff_7J0KD5mKrp0Vvzr7lt3OU09vwQwhkpOPPYv2Y/edit?usp=sharing"",""งบพรบ!EP14"")"),0)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IFERROR(__xludf.DUMMYFUNCTION("IMPORTRANGE(""https://docs.google.com/spreadsheets/d/1-uDff_7J0KD5mKrp0Vvzr7lt3OU09vwQwhkpOPPYv2Y/edit?usp=sharing"",""งบพรบ!EL14"")"),0)</f>
        <v>0</v>
      </c>
      <c r="M328" s="425">
        <f ca="1">IFERROR(__xludf.DUMMYFUNCTION("IMPORTRANGE(""https://docs.google.com/spreadsheets/d/1-uDff_7J0KD5mKrp0Vvzr7lt3OU09vwQwhkpOPPYv2Y/edit?usp=sharing"",""งบพรบ!EO14"")"),0)</f>
        <v>0</v>
      </c>
      <c r="N328" s="425">
        <f ca="1">IFERROR(__xludf.DUMMYFUNCTION("IMPORTRANGE(""https://docs.google.com/spreadsheets/d/1-uDff_7J0KD5mKrp0Vvzr7lt3OU09vwQwhkpOPPYv2Y/edit?usp=sharing"",""งบพรบ!EQ14"")"),0)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IFERROR(__xludf.DUMMYFUNCTION("IMPORTRANGE(""https://docs.google.com/spreadsheets/d/1eHaY18a8A9IcSdp1K8H6x8fbOy06t2VsZHhMHf-1x7Y/edit?usp=sharing"",""แผน!EJ14"")"),0)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5000</v>
      </c>
      <c r="J332" s="402">
        <f ca="1">J344+J347+J348+J349+J353</f>
        <v>2972</v>
      </c>
      <c r="K332" s="403">
        <f ca="1">IF(I332&gt;0,J332*100/I332,0)</f>
        <v>59.44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116000</v>
      </c>
      <c r="M333" s="577">
        <f ca="1">M334+M335</f>
        <v>90550</v>
      </c>
      <c r="N333" s="577">
        <f ca="1">N334+N335</f>
        <v>18700</v>
      </c>
      <c r="O333" s="577">
        <f ca="1">IF(L333&gt;0,N333*100/L333,0)</f>
        <v>16.120689655172413</v>
      </c>
      <c r="P333" s="577">
        <f ca="1">IF(M333&gt;0,N333*100/M333,0)</f>
        <v>20.651573716178905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116000</v>
      </c>
      <c r="M335" s="425">
        <f ca="1">M338+M341</f>
        <v>90550</v>
      </c>
      <c r="N335" s="425">
        <f ca="1">N338+N341</f>
        <v>18700</v>
      </c>
      <c r="O335" s="425">
        <f ca="1">IF(L335&gt;0,N335*100/L335,0)</f>
        <v>16.120689655172413</v>
      </c>
      <c r="P335" s="425">
        <f ca="1">IF(M335&gt;0,N335*100/M335,0)</f>
        <v>20.651573716178905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116000</v>
      </c>
      <c r="M336" s="425">
        <f ca="1">M337+M338</f>
        <v>90550</v>
      </c>
      <c r="N336" s="425">
        <f ca="1">N337+N338</f>
        <v>18700</v>
      </c>
      <c r="O336" s="425">
        <f ca="1">IF(L336&gt;0,N336*100/L336,0)</f>
        <v>16.120689655172413</v>
      </c>
      <c r="P336" s="425">
        <f ca="1">IF(M336&gt;0,N336*100/M336,0)</f>
        <v>20.651573716178905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IFERROR(__xludf.DUMMYFUNCTION("IMPORTRANGE(""https://docs.google.com/spreadsheets/d/1-uDff_7J0KD5mKrp0Vvzr7lt3OU09vwQwhkpOPPYv2Y/edit?usp=sharing"",""งบพรบ!ES14"")"),116000)</f>
        <v>116000</v>
      </c>
      <c r="M338" s="425">
        <f ca="1">IFERROR(__xludf.DUMMYFUNCTION("IMPORTRANGE(""https://docs.google.com/spreadsheets/d/1-uDff_7J0KD5mKrp0Vvzr7lt3OU09vwQwhkpOPPYv2Y/edit?usp=sharing"",""งบพรบ!EX14"")"),90550)</f>
        <v>90550</v>
      </c>
      <c r="N338" s="425">
        <f ca="1">IFERROR(__xludf.DUMMYFUNCTION("IMPORTRANGE(""https://docs.google.com/spreadsheets/d/1-uDff_7J0KD5mKrp0Vvzr7lt3OU09vwQwhkpOPPYv2Y/edit?usp=sharing"",""งบพรบ!EZ14"")"),18700)</f>
        <v>18700</v>
      </c>
      <c r="O338" s="425">
        <f ca="1">IF(L338&gt;0,N338*100/L338,0)</f>
        <v>16.120689655172413</v>
      </c>
      <c r="P338" s="425">
        <f ca="1">IF(M338&gt;0,N338*100/M338,0)</f>
        <v>20.651573716178905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IFERROR(__xludf.DUMMYFUNCTION("IMPORTRANGE(""https://docs.google.com/spreadsheets/d/1-uDff_7J0KD5mKrp0Vvzr7lt3OU09vwQwhkpOPPYv2Y/edit?usp=sharing"",""งบพรบ!EV14"")"),0)</f>
        <v>0</v>
      </c>
      <c r="M341" s="425">
        <f ca="1">IFERROR(__xludf.DUMMYFUNCTION("IMPORTRANGE(""https://docs.google.com/spreadsheets/d/1-uDff_7J0KD5mKrp0Vvzr7lt3OU09vwQwhkpOPPYv2Y/edit?usp=sharing"",""งบพรบ!EY14"")"),0)</f>
        <v>0</v>
      </c>
      <c r="N341" s="425">
        <f ca="1">IFERROR(__xludf.DUMMYFUNCTION("IMPORTRANGE(""https://docs.google.com/spreadsheets/d/1-uDff_7J0KD5mKrp0Vvzr7lt3OU09vwQwhkpOPPYv2Y/edit?usp=sharing"",""งบพรบ!FA14"")"),0)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2131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IFERROR(__xludf.DUMMYFUNCTION("IMPORTRANGE(""https://docs.google.com/spreadsheets/d/1eHaY18a8A9IcSdp1K8H6x8fbOy06t2VsZHhMHf-1x7Y/edit?usp=sharing"",""แผน!EK14"")"),5000)</f>
        <v>5000</v>
      </c>
      <c r="J344" s="424">
        <f ca="1">IFERROR(__xludf.DUMMYFUNCTION("IMPORTRANGE(""https://docs.google.com/spreadsheets/d/1awYsYK3VOup2i3Pq_Yjnu8DRu_mYwSBnCR2QPthd0rU/edit?usp=sharing"",""ศูนย์ยกเว้นโฉนด!D14"")"),2129)</f>
        <v>2129</v>
      </c>
      <c r="K344" s="425">
        <f ca="1">IF(I344&gt;0,J344*100/I344,0)</f>
        <v>42.58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IFERROR(__xludf.DUMMYFUNCTION("IMPORTRANGE(""https://docs.google.com/spreadsheets/d/1eHaY18a8A9IcSdp1K8H6x8fbOy06t2VsZHhMHf-1x7Y/edit?usp=sharing"",""แผน!EL14"")"),5)</f>
        <v>5</v>
      </c>
      <c r="J346" s="424">
        <f ca="1">IFERROR(__xludf.DUMMYFUNCTION("IMPORTRANGE(""https://docs.google.com/spreadsheets/d/1awYsYK3VOup2i3Pq_Yjnu8DRu_mYwSBnCR2QPthd0rU/edit?usp=sharing"",""ศูนย์รวม!E14"")"),4)</f>
        <v>4</v>
      </c>
      <c r="K346" s="425">
        <f ca="1">IF(I346&gt;0,J346*100/I346,0)</f>
        <v>80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IFERROR(__xludf.DUMMYFUNCTION("IMPORTRANGE(""https://docs.google.com/spreadsheets/d/1awYsYK3VOup2i3Pq_Yjnu8DRu_mYwSBnCR2QPthd0rU/edit?usp=sharing"",""ศูนย์ยกเว้นโฉนด!F14"")"),0)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IFERROR(__xludf.DUMMYFUNCTION("IMPORTRANGE(""https://docs.google.com/spreadsheets/d/1awYsYK3VOup2i3Pq_Yjnu8DRu_mYwSBnCR2QPthd0rU/edit?usp=sharing"",""ศูนย์ยกเว้นโฉนด!G14"")"),2)</f>
        <v>2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IFERROR(__xludf.DUMMYFUNCTION("IMPORTRANGE(""https://docs.google.com/spreadsheets/d/1awYsYK3VOup2i3Pq_Yjnu8DRu_mYwSBnCR2QPthd0rU/edit?usp=sharing"",""ศูนย์ยกเว้นโฉนด!H14"")"),0)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3117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IFERROR(__xludf.DUMMYFUNCTION("IMPORTRANGE(""https://docs.google.com/spreadsheets/d/1awYsYK3VOup2i3Pq_Yjnu8DRu_mYwSBnCR2QPthd0rU/edit?usp=sharing"",""โฉนดM3!G14"")"),2276)</f>
        <v>2276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IFERROR(__xludf.DUMMYFUNCTION("IMPORTRANGE(""https://docs.google.com/spreadsheets/d/1awYsYK3VOup2i3Pq_Yjnu8DRu_mYwSBnCR2QPthd0rU/edit?usp=sharing"",""โฉนดM3!H14"")"),841)</f>
        <v>841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633060</v>
      </c>
      <c r="M356" s="577">
        <f ca="1">M357+M358</f>
        <v>524060</v>
      </c>
      <c r="N356" s="577">
        <f ca="1">N357+N358</f>
        <v>177651.45</v>
      </c>
      <c r="O356" s="577">
        <f ca="1">IF(L356&gt;0,N356*100/L356,0)</f>
        <v>28.062340062553311</v>
      </c>
      <c r="P356" s="577">
        <f ca="1">IF(M356&gt;0,N356*100/M356,0)</f>
        <v>33.899066900736557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633060</v>
      </c>
      <c r="M358" s="425">
        <f ca="1">M361+M364</f>
        <v>524060</v>
      </c>
      <c r="N358" s="425">
        <f ca="1">N361+N364</f>
        <v>177651.45</v>
      </c>
      <c r="O358" s="425">
        <f ca="1">IF(L358&gt;0,N358*100/L358,0)</f>
        <v>28.062340062553311</v>
      </c>
      <c r="P358" s="425">
        <f ca="1">IF(M358&gt;0,N358*100/M358,0)</f>
        <v>33.899066900736557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633060</v>
      </c>
      <c r="M359" s="425">
        <f ca="1">M360+M361</f>
        <v>524060</v>
      </c>
      <c r="N359" s="425">
        <f ca="1">N360+N361</f>
        <v>177651.45</v>
      </c>
      <c r="O359" s="425">
        <f ca="1">IF(L359&gt;0,N359*100/L359,0)</f>
        <v>28.062340062553311</v>
      </c>
      <c r="P359" s="425">
        <f ca="1">IF(M359&gt;0,N359*100/M359,0)</f>
        <v>33.899066900736557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IFERROR(__xludf.DUMMYFUNCTION("IMPORTRANGE(""https://docs.google.com/spreadsheets/d/1-uDff_7J0KD5mKrp0Vvzr7lt3OU09vwQwhkpOPPYv2Y/edit?usp=sharing"",""งบพรบ!FC14"")"),633060)</f>
        <v>633060</v>
      </c>
      <c r="M361" s="425">
        <f ca="1">IFERROR(__xludf.DUMMYFUNCTION("IMPORTRANGE(""https://docs.google.com/spreadsheets/d/1-uDff_7J0KD5mKrp0Vvzr7lt3OU09vwQwhkpOPPYv2Y/edit?usp=sharing"",""งบพรบ!FH14"")"),524060)</f>
        <v>524060</v>
      </c>
      <c r="N361" s="425">
        <f ca="1">IFERROR(__xludf.DUMMYFUNCTION("IMPORTRANGE(""https://docs.google.com/spreadsheets/d/1-uDff_7J0KD5mKrp0Vvzr7lt3OU09vwQwhkpOPPYv2Y/edit?usp=sharing"",""งบพรบ!FJ14"")"),177651.45)</f>
        <v>177651.45</v>
      </c>
      <c r="O361" s="425">
        <f ca="1">IF(L361&gt;0,N361*100/L361,0)</f>
        <v>28.062340062553311</v>
      </c>
      <c r="P361" s="425">
        <f ca="1">IF(M361&gt;0,N361*100/M361,0)</f>
        <v>33.899066900736557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IFERROR(__xludf.DUMMYFUNCTION("IMPORTRANGE(""https://docs.google.com/spreadsheets/d/1-uDff_7J0KD5mKrp0Vvzr7lt3OU09vwQwhkpOPPYv2Y/edit?usp=sharing"",""งบพรบ!FF14"")"),0)</f>
        <v>0</v>
      </c>
      <c r="M364" s="425">
        <f ca="1">IFERROR(__xludf.DUMMYFUNCTION("IMPORTRANGE(""https://docs.google.com/spreadsheets/d/1-uDff_7J0KD5mKrp0Vvzr7lt3OU09vwQwhkpOPPYv2Y/edit?usp=sharing"",""งบพรบ!FI14"")"),0)</f>
        <v>0</v>
      </c>
      <c r="N364" s="425">
        <f ca="1">IFERROR(__xludf.DUMMYFUNCTION("IMPORTRANGE(""https://docs.google.com/spreadsheets/d/1-uDff_7J0KD5mKrp0Vvzr7lt3OU09vwQwhkpOPPYv2Y/edit?usp=sharing"",""งบพรบ!FK14"")"),0)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235</v>
      </c>
      <c r="J365" s="438">
        <f ca="1">J371</f>
        <v>144</v>
      </c>
      <c r="K365" s="439">
        <f ca="1">IF(I365&gt;0,J365*100/I365,0)</f>
        <v>61.276595744680854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IFERROR(__xludf.DUMMYFUNCTION("IMPORTRANGE(""https://docs.google.com/spreadsheets/d/1tdoBKaGub7dwA3U6UFTqxio9LNnvDCQjHKmttSEBsFQ/edit?usp=sharing"",""จัดที่ดิน!AB14"")"),0)</f>
        <v>0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IFERROR(__xludf.DUMMYFUNCTION("IMPORTRANGE(""https://docs.google.com/spreadsheets/d/1eHaY18a8A9IcSdp1K8H6x8fbOy06t2VsZHhMHf-1x7Y/edit?usp=sharing"",""แผน!EW14"")"),2130)</f>
        <v>2130</v>
      </c>
      <c r="J368" s="565">
        <f ca="1">IFERROR(__xludf.DUMMYFUNCTION("IMPORTRANGE(""https://docs.google.com/spreadsheets/d/1tdoBKaGub7dwA3U6UFTqxio9LNnvDCQjHKmttSEBsFQ/edit?usp=sharing"",""จัดที่ดิน!AC14"")"),0)</f>
        <v>0</v>
      </c>
      <c r="K368" s="425">
        <f ca="1">IF(I368&gt;0,J368*100/I368,0)</f>
        <v>0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IFERROR(__xludf.DUMMYFUNCTION("IMPORTRANGE(""https://docs.google.com/spreadsheets/d/1eHaY18a8A9IcSdp1K8H6x8fbOy06t2VsZHhMHf-1x7Y/edit?usp=sharing"",""แผน!EX14"")"),381)</f>
        <v>381</v>
      </c>
      <c r="J369" s="424">
        <f ca="1">IFERROR(__xludf.DUMMYFUNCTION("IMPORTRANGE(""https://docs.google.com/spreadsheets/d/1tdoBKaGub7dwA3U6UFTqxio9LNnvDCQjHKmttSEBsFQ/edit?usp=sharing"",""จัดที่ดิน!AD14"")"),184)</f>
        <v>184</v>
      </c>
      <c r="K369" s="425">
        <f ca="1">IF(I369&gt;0,J369*100/I369,0)</f>
        <v>48.293963254593173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IFERROR(__xludf.DUMMYFUNCTION("IMPORTRANGE(""https://docs.google.com/spreadsheets/d/1tdoBKaGub7dwA3U6UFTqxio9LNnvDCQjHKmttSEBsFQ/edit?usp=sharing"",""จัดที่ดิน!AE14"")"),3016.3)</f>
        <v>3016.3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IFERROR(__xludf.DUMMYFUNCTION("IMPORTRANGE(""https://docs.google.com/spreadsheets/d/1eHaY18a8A9IcSdp1K8H6x8fbOy06t2VsZHhMHf-1x7Y/edit?usp=sharing"",""แผน!EY14"")"),235)</f>
        <v>235</v>
      </c>
      <c r="J371" s="424">
        <f ca="1">IFERROR(__xludf.DUMMYFUNCTION("IMPORTRANGE(""https://docs.google.com/spreadsheets/d/1tdoBKaGub7dwA3U6UFTqxio9LNnvDCQjHKmttSEBsFQ/edit?usp=sharing"",""จัดที่ดิน!AF14"")"),144)</f>
        <v>144</v>
      </c>
      <c r="K371" s="425">
        <f ca="1">IF(I371&gt;0,J371*100/I371,0)</f>
        <v>61.276595744680854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IFERROR(__xludf.DUMMYFUNCTION("IMPORTRANGE(""https://docs.google.com/spreadsheets/d/1tdoBKaGub7dwA3U6UFTqxio9LNnvDCQjHKmttSEBsFQ/edit?usp=sharing"",""จัดที่ดิน!AG14"")"),2485.71)</f>
        <v>2485.71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IFERROR(__xludf.DUMMYFUNCTION("IMPORTRANGE(""https://docs.google.com/spreadsheets/d/1-uDff_7J0KD5mKrp0Vvzr7lt3OU09vwQwhkpOPPYv2Y/edit?usp=sharing"",""งบพรบ!FM14"")"),0)</f>
        <v>0</v>
      </c>
      <c r="M382" s="521">
        <f ca="1">IFERROR(__xludf.DUMMYFUNCTION("IMPORTRANGE(""https://docs.google.com/spreadsheets/d/1-uDff_7J0KD5mKrp0Vvzr7lt3OU09vwQwhkpOPPYv2Y/edit?usp=sharing"",""งบพรบ!FR14"")"),0)</f>
        <v>0</v>
      </c>
      <c r="N382" s="521">
        <f ca="1">IFERROR(__xludf.DUMMYFUNCTION("IMPORTRANGE(""https://docs.google.com/spreadsheets/d/1-uDff_7J0KD5mKrp0Vvzr7lt3OU09vwQwhkpOPPYv2Y/edit?usp=sharing"",""งบพรบ!FT14"")"),0)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IFERROR(__xludf.DUMMYFUNCTION("IMPORTRANGE(""https://docs.google.com/spreadsheets/d/1-uDff_7J0KD5mKrp0Vvzr7lt3OU09vwQwhkpOPPYv2Y/edit?usp=sharing"",""งบพรบ!FP14"")"),0)</f>
        <v>0</v>
      </c>
      <c r="M385" s="521">
        <f ca="1">IFERROR(__xludf.DUMMYFUNCTION("IMPORTRANGE(""https://docs.google.com/spreadsheets/d/1-uDff_7J0KD5mKrp0Vvzr7lt3OU09vwQwhkpOPPYv2Y/edit?usp=sharing"",""งบพรบ!FS14"")"),0)</f>
        <v>0</v>
      </c>
      <c r="N385" s="521">
        <f ca="1">IFERROR(__xludf.DUMMYFUNCTION("IMPORTRANGE(""https://docs.google.com/spreadsheets/d/1-uDff_7J0KD5mKrp0Vvzr7lt3OU09vwQwhkpOPPYv2Y/edit?usp=sharing"",""งบพรบ!FU14"")"),0)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56:G56"/>
    <mergeCell ref="B57:G57"/>
    <mergeCell ref="A5:G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14A6-7A1E-4C5F-931B-828CEA4F6CE5}">
  <sheetPr>
    <outlinePr summaryBelow="0" summaryRight="0"/>
  </sheetPr>
  <dimension ref="A1:P391"/>
  <sheetViews>
    <sheetView view="pageBreakPreview" zoomScale="60" zoomScaleNormal="70" workbookViewId="0">
      <pane xSplit="8" ySplit="17" topLeftCell="I18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" bestFit="1" customWidth="1"/>
    <col min="11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161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3226754</v>
      </c>
      <c r="M18" s="704">
        <f ca="1">M19+M20</f>
        <v>2823680</v>
      </c>
      <c r="N18" s="704">
        <f ca="1">N19+N20</f>
        <v>737973.60000000009</v>
      </c>
      <c r="O18" s="704">
        <f ca="1">IF(L18&gt;0,N18*100/L18,0)</f>
        <v>22.870463630013326</v>
      </c>
      <c r="P18" s="704">
        <f ca="1">IF(M18&gt;0,N18*100/M18,0)</f>
        <v>26.135171124206714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3226754</v>
      </c>
      <c r="M20" s="817">
        <f ca="1">M23+M26</f>
        <v>2823680</v>
      </c>
      <c r="N20" s="817">
        <f ca="1">N23+N26</f>
        <v>737973.60000000009</v>
      </c>
      <c r="O20" s="817">
        <f ca="1">IF(L20&gt;0,N20*100/L20,0)</f>
        <v>22.870463630013326</v>
      </c>
      <c r="P20" s="817">
        <f ca="1">IF(M20&gt;0,N20*100/M20,0)</f>
        <v>26.135171124206714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3226754</v>
      </c>
      <c r="M21" s="425">
        <f ca="1">M22+M23</f>
        <v>2823680</v>
      </c>
      <c r="N21" s="425">
        <f ca="1">N22+N23</f>
        <v>737973.60000000009</v>
      </c>
      <c r="O21" s="425">
        <f ca="1">IF(L21&gt;0,N21*100/L21,0)</f>
        <v>22.870463630013326</v>
      </c>
      <c r="P21" s="425">
        <f ca="1">IF(M21&gt;0,N21*100/M21,0)</f>
        <v>26.135171124206714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3226754</v>
      </c>
      <c r="M23" s="425">
        <f ca="1">M49+M64+M77+M99+M130+M144+M162+M191+M178+M271+M287+M308+M325+M338+M361+M382</f>
        <v>2823680</v>
      </c>
      <c r="N23" s="425">
        <f ca="1">N49+N64+N77+N99+N130+N144+N162+N191+N178+N271+N287+N308+N325+N338+N361+N382</f>
        <v>737973.60000000009</v>
      </c>
      <c r="O23" s="425">
        <f ca="1">IF(L23&gt;0,N23*100/L23,0)</f>
        <v>22.870463630013326</v>
      </c>
      <c r="P23" s="425">
        <f ca="1">IF(M23&gt;0,N23*100/M23,0)</f>
        <v>26.135171124206714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3226754</v>
      </c>
      <c r="M40" s="809">
        <f ca="1">M44+M59+M72+M94+M125+M139+M157+M173+M186+M266+M282+M303+M320+M333+M356</f>
        <v>2823680</v>
      </c>
      <c r="N40" s="809">
        <f ca="1">N44+N59+N72+N94+N125+N139+N157+N173+N186+N266+N282+N303+N320+N333+N356</f>
        <v>737973.60000000009</v>
      </c>
      <c r="O40" s="809">
        <f ca="1">IF(L40&gt;0,N40*100/L40,0)</f>
        <v>22.870463630013326</v>
      </c>
      <c r="P40" s="809">
        <f ca="1">IF(M40&gt;0,N40*100/M40,0)</f>
        <v>26.135171124206714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475534</v>
      </c>
      <c r="M44" s="794">
        <f ca="1">M45+M46</f>
        <v>484600</v>
      </c>
      <c r="N44" s="794">
        <f ca="1">N45+N46</f>
        <v>180034</v>
      </c>
      <c r="O44" s="794">
        <f ca="1">IF(L44&gt;0,N44*100/L44,0)</f>
        <v>37.85933287630327</v>
      </c>
      <c r="P44" s="794">
        <f ca="1">IF(M44&gt;0,N44*100/M44,0)</f>
        <v>37.151052414362361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475534</v>
      </c>
      <c r="M46" s="783">
        <f ca="1">M49+M52</f>
        <v>484600</v>
      </c>
      <c r="N46" s="783">
        <f ca="1">N49+N52</f>
        <v>180034</v>
      </c>
      <c r="O46" s="783">
        <f ca="1">IF(L46&gt;0,N46*100/L46,0)</f>
        <v>37.85933287630327</v>
      </c>
      <c r="P46" s="783">
        <f ca="1">IF(M46&gt;0,N46*100/M46,0)</f>
        <v>37.151052414362361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475534</v>
      </c>
      <c r="M47" s="425">
        <f ca="1">M48+M49</f>
        <v>484600</v>
      </c>
      <c r="N47" s="425">
        <f ca="1">N48+N49</f>
        <v>180034</v>
      </c>
      <c r="O47" s="425">
        <f ca="1">IF(L47&gt;0,N47*100/L47,0)</f>
        <v>37.85933287630327</v>
      </c>
      <c r="P47" s="425">
        <f ca="1">IF(M47&gt;0,N47*100/M47,0)</f>
        <v>37.151052414362361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IFERROR(__xludf.DUMMYFUNCTION("IMPORTRANGE(""https://docs.google.com/spreadsheets/d/1-uDff_7J0KD5mKrp0Vvzr7lt3OU09vwQwhkpOPPYv2Y/edit?usp=sharing"",""งบพรบ!P15"")"),475534)</f>
        <v>475534</v>
      </c>
      <c r="M49" s="425">
        <f ca="1">IFERROR(__xludf.DUMMYFUNCTION("IMPORTRANGE(""https://docs.google.com/spreadsheets/d/1-uDff_7J0KD5mKrp0Vvzr7lt3OU09vwQwhkpOPPYv2Y/edit?usp=sharing"",""งบพรบ!V15"")"),484600)</f>
        <v>484600</v>
      </c>
      <c r="N49" s="425">
        <f ca="1">IFERROR(__xludf.DUMMYFUNCTION("IMPORTRANGE(""https://docs.google.com/spreadsheets/d/1-uDff_7J0KD5mKrp0Vvzr7lt3OU09vwQwhkpOPPYv2Y/edit?usp=sharing"",""งบพรบ!Y15"")"),180034)</f>
        <v>180034</v>
      </c>
      <c r="O49" s="425">
        <f ca="1">IF(L49&gt;0,N49*100/L49,0)</f>
        <v>37.85933287630327</v>
      </c>
      <c r="P49" s="425">
        <f ca="1">IF(M49&gt;0,N49*100/M49,0)</f>
        <v>37.151052414362361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IFERROR(__xludf.DUMMYFUNCTION("IMPORTRANGE(""https://docs.google.com/spreadsheets/d/1-uDff_7J0KD5mKrp0Vvzr7lt3OU09vwQwhkpOPPYv2Y/edit?usp=sharing"",""งบพรบ!S15"")"),0)</f>
        <v>0</v>
      </c>
      <c r="M52" s="425">
        <f ca="1">IFERROR(__xludf.DUMMYFUNCTION("IMPORTRANGE(""https://docs.google.com/spreadsheets/d/1-uDff_7J0KD5mKrp0Vvzr7lt3OU09vwQwhkpOPPYv2Y/edit?usp=sharing"",""งบพรบ!W15"")"),0)</f>
        <v>0</v>
      </c>
      <c r="N52" s="425">
        <f ca="1">IFERROR(__xludf.DUMMYFUNCTION("IMPORTRANGE(""https://docs.google.com/spreadsheets/d/1-uDff_7J0KD5mKrp0Vvzr7lt3OU09vwQwhkpOPPYv2Y/edit?usp=sharing"",""งบพรบ!Z15"")"),0)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508300</v>
      </c>
      <c r="M59" s="763">
        <f ca="1">M60+M61</f>
        <v>383450</v>
      </c>
      <c r="N59" s="763">
        <f ca="1">N60+N61</f>
        <v>217407.76</v>
      </c>
      <c r="O59" s="763">
        <f ca="1">IF(L59&gt;0,N59*100/L59,0)</f>
        <v>42.771544363564821</v>
      </c>
      <c r="P59" s="763">
        <f ca="1">IF(M59&gt;0,N59*100/M59,0)</f>
        <v>56.697811970269917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508300</v>
      </c>
      <c r="M61" s="752">
        <f ca="1">M64+M67</f>
        <v>383450</v>
      </c>
      <c r="N61" s="752">
        <f ca="1">N64+N67</f>
        <v>217407.76</v>
      </c>
      <c r="O61" s="752">
        <f ca="1">IF(L61&gt;0,N61*100/L61,0)</f>
        <v>42.771544363564821</v>
      </c>
      <c r="P61" s="752">
        <f ca="1">IF(M61&gt;0,N61*100/M61,0)</f>
        <v>56.697811970269917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508300</v>
      </c>
      <c r="M62" s="425">
        <f ca="1">M63+M64</f>
        <v>383450</v>
      </c>
      <c r="N62" s="425">
        <f ca="1">N63+N64</f>
        <v>217407.76</v>
      </c>
      <c r="O62" s="425">
        <f ca="1">IF(L62&gt;0,N62*100/L62,0)</f>
        <v>42.771544363564821</v>
      </c>
      <c r="P62" s="425">
        <f ca="1">IF(M62&gt;0,N62*100/M62,0)</f>
        <v>56.697811970269917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IFERROR(__xludf.DUMMYFUNCTION("IMPORTRANGE(""https://docs.google.com/spreadsheets/d/1-uDff_7J0KD5mKrp0Vvzr7lt3OU09vwQwhkpOPPYv2Y/edit?usp=sharing"",""งบพรบ!AC15"")"),508300)</f>
        <v>508300</v>
      </c>
      <c r="M64" s="425">
        <f ca="1">IFERROR(__xludf.DUMMYFUNCTION("IMPORTRANGE(""https://docs.google.com/spreadsheets/d/1-uDff_7J0KD5mKrp0Vvzr7lt3OU09vwQwhkpOPPYv2Y/edit?usp=sharing"",""งบพรบ!AH15"")"),383450)</f>
        <v>383450</v>
      </c>
      <c r="N64" s="425">
        <f ca="1">IFERROR(__xludf.DUMMYFUNCTION("IMPORTRANGE(""https://docs.google.com/spreadsheets/d/1-uDff_7J0KD5mKrp0Vvzr7lt3OU09vwQwhkpOPPYv2Y/edit?usp=sharing"",""งบพรบ!AJ15"")"),217407.76)</f>
        <v>217407.76</v>
      </c>
      <c r="O64" s="425">
        <f ca="1">IF(L64&gt;0,N64*100/L64,0)</f>
        <v>42.771544363564821</v>
      </c>
      <c r="P64" s="425">
        <f ca="1">IF(M64&gt;0,N64*100/M64,0)</f>
        <v>56.697811970269917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IFERROR(__xludf.DUMMYFUNCTION("IMPORTRANGE(""https://docs.google.com/spreadsheets/d/1-uDff_7J0KD5mKrp0Vvzr7lt3OU09vwQwhkpOPPYv2Y/edit?usp=sharing"",""งบพรบ!AF15"")"),0)</f>
        <v>0</v>
      </c>
      <c r="M67" s="747">
        <f ca="1">IFERROR(__xludf.DUMMYFUNCTION("IMPORTRANGE(""https://docs.google.com/spreadsheets/d/1-uDff_7J0KD5mKrp0Vvzr7lt3OU09vwQwhkpOPPYv2Y/edit?usp=sharing"",""งบพรบ!AI15"")"),0)</f>
        <v>0</v>
      </c>
      <c r="N67" s="747">
        <f ca="1">IFERROR(__xludf.DUMMYFUNCTION("IMPORTRANGE(""https://docs.google.com/spreadsheets/d/1-uDff_7J0KD5mKrp0Vvzr7lt3OU09vwQwhkpOPPYv2Y/edit?usp=sharing"",""งบพรบ!AK15"")"),0)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1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60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791300</v>
      </c>
      <c r="M72" s="577">
        <f ca="1">M73+M74</f>
        <v>657500</v>
      </c>
      <c r="N72" s="577">
        <f ca="1">N73+N74</f>
        <v>121855.65</v>
      </c>
      <c r="O72" s="577">
        <f ca="1">IF(L72&gt;0,N72*100/L72,0)</f>
        <v>15.399424996840642</v>
      </c>
      <c r="P72" s="577">
        <f ca="1">IF(M72&gt;0,N72*100/M72,0)</f>
        <v>18.533178707224334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791300</v>
      </c>
      <c r="M74" s="425">
        <f ca="1">M77+M80</f>
        <v>657500</v>
      </c>
      <c r="N74" s="425">
        <f ca="1">N77+N80</f>
        <v>121855.65</v>
      </c>
      <c r="O74" s="425">
        <f ca="1">IF(L74&gt;0,N74*100/L74,0)</f>
        <v>15.399424996840642</v>
      </c>
      <c r="P74" s="425">
        <f ca="1">IF(M74&gt;0,N74*100/M74,0)</f>
        <v>18.533178707224334</v>
      </c>
    </row>
    <row r="75" spans="1:16" ht="18.75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791300</v>
      </c>
      <c r="M75" s="425">
        <f ca="1">M76+M77</f>
        <v>657500</v>
      </c>
      <c r="N75" s="425">
        <f ca="1">N76+N77</f>
        <v>121855.65</v>
      </c>
      <c r="O75" s="425">
        <f ca="1">IF(L75&gt;0,N75*100/L75,0)</f>
        <v>15.399424996840642</v>
      </c>
      <c r="P75" s="425">
        <f ca="1">IF(M75&gt;0,N75*100/M75,0)</f>
        <v>18.533178707224334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IFERROR(__xludf.DUMMYFUNCTION("IMPORTRANGE(""https://docs.google.com/spreadsheets/d/1-uDff_7J0KD5mKrp0Vvzr7lt3OU09vwQwhkpOPPYv2Y/edit?usp=sharing"",""งบพรบ!AM15"")"),791300)</f>
        <v>791300</v>
      </c>
      <c r="M77" s="425">
        <f ca="1">IFERROR(__xludf.DUMMYFUNCTION("IMPORTRANGE(""https://docs.google.com/spreadsheets/d/1-uDff_7J0KD5mKrp0Vvzr7lt3OU09vwQwhkpOPPYv2Y/edit?usp=sharing"",""งบพรบ!AR15"")"),657500)</f>
        <v>657500</v>
      </c>
      <c r="N77" s="425">
        <f ca="1">IFERROR(__xludf.DUMMYFUNCTION("IMPORTRANGE(""https://docs.google.com/spreadsheets/d/1-uDff_7J0KD5mKrp0Vvzr7lt3OU09vwQwhkpOPPYv2Y/edit?usp=sharing"",""งบพรบ!AT15"")"),121855.65)</f>
        <v>121855.65</v>
      </c>
      <c r="O77" s="425">
        <f ca="1">IF(L77&gt;0,N77*100/L77,0)</f>
        <v>15.399424996840642</v>
      </c>
      <c r="P77" s="425">
        <f ca="1">IF(M77&gt;0,N77*100/M77,0)</f>
        <v>18.533178707224334</v>
      </c>
    </row>
    <row r="78" spans="1:16" ht="18.75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IFERROR(__xludf.DUMMYFUNCTION("IMPORTRANGE(""https://docs.google.com/spreadsheets/d/1-uDff_7J0KD5mKrp0Vvzr7lt3OU09vwQwhkpOPPYv2Y/edit?usp=sharing"",""งบพรบ!AP15"")"),0)</f>
        <v>0</v>
      </c>
      <c r="M80" s="425">
        <f ca="1">IFERROR(__xludf.DUMMYFUNCTION("IMPORTRANGE(""https://docs.google.com/spreadsheets/d/1-uDff_7J0KD5mKrp0Vvzr7lt3OU09vwQwhkpOPPYv2Y/edit?usp=sharing"",""งบพรบ!AS15"")"),0)</f>
        <v>0</v>
      </c>
      <c r="N80" s="425">
        <f ca="1">IFERROR(__xludf.DUMMYFUNCTION("IMPORTRANGE(""https://docs.google.com/spreadsheets/d/1-uDff_7J0KD5mKrp0Vvzr7lt3OU09vwQwhkpOPPYv2Y/edit?usp=sharing"",""งบพรบ!AU15"")"),0)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1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60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IFERROR(__xludf.DUMMYFUNCTION("IMPORTRANGE(""https://docs.google.com/spreadsheets/d/1eHaY18a8A9IcSdp1K8H6x8fbOy06t2VsZHhMHf-1x7Y/edit?usp=sharing"",""แผน!H15"")"),0)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IFERROR(__xludf.DUMMYFUNCTION("IMPORTRANGE(""https://docs.google.com/spreadsheets/d/1eHaY18a8A9IcSdp1K8H6x8fbOy06t2VsZHhMHf-1x7Y/edit?usp=sharing"",""แผน!I15"")"),0)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IFERROR(__xludf.DUMMYFUNCTION("IMPORTRANGE(""https://docs.google.com/spreadsheets/d/1eHaY18a8A9IcSdp1K8H6x8fbOy06t2VsZHhMHf-1x7Y/edit?usp=sharing"",""แผน!F15"")"),0)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IFERROR(__xludf.DUMMYFUNCTION("IMPORTRANGE(""https://docs.google.com/spreadsheets/d/1eHaY18a8A9IcSdp1K8H6x8fbOy06t2VsZHhMHf-1x7Y/edit?usp=sharing"",""แผน!G15"")"),0)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IFERROR(__xludf.DUMMYFUNCTION("IMPORTRANGE(""https://docs.google.com/spreadsheets/d/1eHaY18a8A9IcSdp1K8H6x8fbOy06t2VsZHhMHf-1x7Y/edit?usp=sharing"",""แผน!D15"")"),1)</f>
        <v>1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IFERROR(__xludf.DUMMYFUNCTION("IMPORTRANGE(""https://docs.google.com/spreadsheets/d/1eHaY18a8A9IcSdp1K8H6x8fbOy06t2VsZHhMHf-1x7Y/edit?usp=sharing"",""แผน!E15"")"),60)</f>
        <v>60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IFERROR(__xludf.DUMMYFUNCTION("IMPORTRANGE(""https://docs.google.com/spreadsheets/d/1eHaY18a8A9IcSdp1K8H6x8fbOy06t2VsZHhMHf-1x7Y/edit?usp=sharing"",""แผน!J15"")"),1)</f>
        <v>1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IFERROR(__xludf.DUMMYFUNCTION("IMPORTRANGE(""https://docs.google.com/spreadsheets/d/1-uDff_7J0KD5mKrp0Vvzr7lt3OU09vwQwhkpOPPYv2Y/edit?usp=sharing"",""งบพรบ!AW15"")"),0)</f>
        <v>0</v>
      </c>
      <c r="M99" s="425">
        <f ca="1">IFERROR(__xludf.DUMMYFUNCTION("IMPORTRANGE(""https://docs.google.com/spreadsheets/d/1-uDff_7J0KD5mKrp0Vvzr7lt3OU09vwQwhkpOPPYv2Y/edit?usp=sharing"",""งบพรบ!BB15"")"),0)</f>
        <v>0</v>
      </c>
      <c r="N99" s="425">
        <f ca="1">IFERROR(__xludf.DUMMYFUNCTION("IMPORTRANGE(""https://docs.google.com/spreadsheets/d/1-uDff_7J0KD5mKrp0Vvzr7lt3OU09vwQwhkpOPPYv2Y/edit?usp=sharing"",""งบพรบ!BD15"")"),0)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IFERROR(__xludf.DUMMYFUNCTION("IMPORTRANGE(""https://docs.google.com/spreadsheets/d/1-uDff_7J0KD5mKrp0Vvzr7lt3OU09vwQwhkpOPPYv2Y/edit?usp=sharing"",""งบพรบ!AZ15"")"),0)</f>
        <v>0</v>
      </c>
      <c r="M102" s="425">
        <f ca="1">IFERROR(__xludf.DUMMYFUNCTION("IMPORTRANGE(""https://docs.google.com/spreadsheets/d/1-uDff_7J0KD5mKrp0Vvzr7lt3OU09vwQwhkpOPPYv2Y/edit?usp=sharing"",""งบพรบ!BC15"")"),0)</f>
        <v>0</v>
      </c>
      <c r="N102" s="425">
        <f ca="1">IFERROR(__xludf.DUMMYFUNCTION("IMPORTRANGE(""https://docs.google.com/spreadsheets/d/1-uDff_7J0KD5mKrp0Vvzr7lt3OU09vwQwhkpOPPYv2Y/edit?usp=sharing"",""งบพรบ!BE15"")"),0)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IFERROR(__xludf.DUMMYFUNCTION("IMPORTRANGE(""https://docs.google.com/spreadsheets/d/1eHaY18a8A9IcSdp1K8H6x8fbOy06t2VsZHhMHf-1x7Y/edit?usp=sharing"",""แผน!N15"")"),0)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IFERROR(__xludf.DUMMYFUNCTION("IMPORTRANGE(""https://docs.google.com/spreadsheets/d/1eHaY18a8A9IcSdp1K8H6x8fbOy06t2VsZHhMHf-1x7Y/edit?usp=sharing"",""แผน!O15"")"),0)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IFERROR(__xludf.DUMMYFUNCTION("IMPORTRANGE(""https://docs.google.com/spreadsheets/d/1eHaY18a8A9IcSdp1K8H6x8fbOy06t2VsZHhMHf-1x7Y/edit?usp=sharing"",""แผน!R15"")"),0)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IFERROR(__xludf.DUMMYFUNCTION("IMPORTRANGE(""https://docs.google.com/spreadsheets/d/1-uDff_7J0KD5mKrp0Vvzr7lt3OU09vwQwhkpOPPYv2Y/edit?usp=sharing"",""งบพรบ!BG15"")"),0)</f>
        <v>0</v>
      </c>
      <c r="M130" s="723">
        <f ca="1">IFERROR(__xludf.DUMMYFUNCTION("IMPORTRANGE(""https://docs.google.com/spreadsheets/d/1-uDff_7J0KD5mKrp0Vvzr7lt3OU09vwQwhkpOPPYv2Y/edit?usp=sharing"",""งบพรบ!BL15"")"),0)</f>
        <v>0</v>
      </c>
      <c r="N130" s="723">
        <f ca="1">IFERROR(__xludf.DUMMYFUNCTION("IMPORTRANGE(""https://docs.google.com/spreadsheets/d/1-uDff_7J0KD5mKrp0Vvzr7lt3OU09vwQwhkpOPPYv2Y/edit?usp=sharing"",""งบพรบ!BN15"")"),0)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IFERROR(__xludf.DUMMYFUNCTION("IMPORTRANGE(""https://docs.google.com/spreadsheets/d/1-uDff_7J0KD5mKrp0Vvzr7lt3OU09vwQwhkpOPPYv2Y/edit?usp=sharing"",""งบพรบ!BJ15"")"),0)</f>
        <v>0</v>
      </c>
      <c r="M133" s="723">
        <f ca="1">IFERROR(__xludf.DUMMYFUNCTION("IMPORTRANGE(""https://docs.google.com/spreadsheets/d/1-uDff_7J0KD5mKrp0Vvzr7lt3OU09vwQwhkpOPPYv2Y/edit?usp=sharing"",""งบพรบ!BM15"")"),0)</f>
        <v>0</v>
      </c>
      <c r="N133" s="723">
        <f ca="1">IFERROR(__xludf.DUMMYFUNCTION("IMPORTRANGE(""https://docs.google.com/spreadsheets/d/1-uDff_7J0KD5mKrp0Vvzr7lt3OU09vwQwhkpOPPYv2Y/edit?usp=sharing"",""งบพรบ!BO15"")"),0)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3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80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8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116300</v>
      </c>
      <c r="M139" s="577">
        <f ca="1">M140+M141</f>
        <v>111300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116300</v>
      </c>
      <c r="M141" s="425">
        <f ca="1">M144+M147</f>
        <v>111300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116300</v>
      </c>
      <c r="M142" s="425">
        <f ca="1">M143+M144</f>
        <v>111300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IFERROR(__xludf.DUMMYFUNCTION("IMPORTRANGE(""https://docs.google.com/spreadsheets/d/1-uDff_7J0KD5mKrp0Vvzr7lt3OU09vwQwhkpOPPYv2Y/edit?usp=sharing"",""งบพรบ!BQ15"")"),116300)</f>
        <v>116300</v>
      </c>
      <c r="M144" s="425">
        <f ca="1">IFERROR(__xludf.DUMMYFUNCTION("IMPORTRANGE(""https://docs.google.com/spreadsheets/d/1-uDff_7J0KD5mKrp0Vvzr7lt3OU09vwQwhkpOPPYv2Y/edit?usp=sharing"",""งบพรบ!BV15"")"),111300)</f>
        <v>111300</v>
      </c>
      <c r="N144" s="425">
        <f ca="1">IFERROR(__xludf.DUMMYFUNCTION("IMPORTRANGE(""https://docs.google.com/spreadsheets/d/1-uDff_7J0KD5mKrp0Vvzr7lt3OU09vwQwhkpOPPYv2Y/edit?usp=sharing"",""งบพรบ!BX15"")"),0)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IFERROR(__xludf.DUMMYFUNCTION("IMPORTRANGE(""https://docs.google.com/spreadsheets/d/1-uDff_7J0KD5mKrp0Vvzr7lt3OU09vwQwhkpOPPYv2Y/edit?usp=sharing"",""งบพรบ!BT15"")"),0)</f>
        <v>0</v>
      </c>
      <c r="M147" s="425">
        <f ca="1">IFERROR(__xludf.DUMMYFUNCTION("IMPORTRANGE(""https://docs.google.com/spreadsheets/d/1-uDff_7J0KD5mKrp0Vvzr7lt3OU09vwQwhkpOPPYv2Y/edit?usp=sharing"",""งบพรบ!BW15"")"),0)</f>
        <v>0</v>
      </c>
      <c r="N147" s="425">
        <f ca="1">IFERROR(__xludf.DUMMYFUNCTION("IMPORTRANGE(""https://docs.google.com/spreadsheets/d/1-uDff_7J0KD5mKrp0Vvzr7lt3OU09vwQwhkpOPPYv2Y/edit?usp=sharing"",""งบพรบ!BY15"")"),0)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IFERROR(__xludf.DUMMYFUNCTION("IMPORTRANGE(""https://docs.google.com/spreadsheets/d/1eHaY18a8A9IcSdp1K8H6x8fbOy06t2VsZHhMHf-1x7Y/edit?usp=sharing"",""แผน!U15"")"),30)</f>
        <v>30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IFERROR(__xludf.DUMMYFUNCTION("IMPORTRANGE(""https://docs.google.com/spreadsheets/d/1eHaY18a8A9IcSdp1K8H6x8fbOy06t2VsZHhMHf-1x7Y/edit?usp=sharing"",""แผน!V15"")"),3)</f>
        <v>3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IFERROR(__xludf.DUMMYFUNCTION("IMPORTRANGE(""https://docs.google.com/spreadsheets/d/1eHaY18a8A9IcSdp1K8H6x8fbOy06t2VsZHhMHf-1x7Y/edit?usp=sharing"",""แผน!W15"")"),80)</f>
        <v>80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IFERROR(__xludf.DUMMYFUNCTION("IMPORTRANGE(""https://docs.google.com/spreadsheets/d/1eHaY18a8A9IcSdp1K8H6x8fbOy06t2VsZHhMHf-1x7Y/edit?usp=sharing"",""แผน!X15"")"),8)</f>
        <v>8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IFERROR(__xludf.DUMMYFUNCTION("IMPORTRANGE(""https://docs.google.com/spreadsheets/d/1eHaY18a8A9IcSdp1K8H6x8fbOy06t2VsZHhMHf-1x7Y/edit?usp=sharing"",""แผน!Y15"")"),3)</f>
        <v>3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3000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IFERROR(__xludf.DUMMYFUNCTION("IMPORTRANGE(""https://docs.google.com/spreadsheets/d/1-uDff_7J0KD5mKrp0Vvzr7lt3OU09vwQwhkpOPPYv2Y/edit?usp=sharing"",""งบพรบ!CA15"")"),3000)</f>
        <v>3000</v>
      </c>
      <c r="M162" s="425">
        <f ca="1">IFERROR(__xludf.DUMMYFUNCTION("IMPORTRANGE(""https://docs.google.com/spreadsheets/d/1-uDff_7J0KD5mKrp0Vvzr7lt3OU09vwQwhkpOPPYv2Y/edit?usp=sharing"",""งบพรบ!CF15"")"),0)</f>
        <v>0</v>
      </c>
      <c r="N162" s="425">
        <f ca="1">IFERROR(__xludf.DUMMYFUNCTION("IMPORTRANGE(""https://docs.google.com/spreadsheets/d/1-uDff_7J0KD5mKrp0Vvzr7lt3OU09vwQwhkpOPPYv2Y/edit?usp=sharing"",""งบพรบ!CH15"")"),0)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IFERROR(__xludf.DUMMYFUNCTION("IMPORTRANGE(""https://docs.google.com/spreadsheets/d/1-uDff_7J0KD5mKrp0Vvzr7lt3OU09vwQwhkpOPPYv2Y/edit?usp=sharing"",""งบพรบ!CD15"")"),0)</f>
        <v>0</v>
      </c>
      <c r="M165" s="425">
        <f ca="1">IFERROR(__xludf.DUMMYFUNCTION("IMPORTRANGE(""https://docs.google.com/spreadsheets/d/1-uDff_7J0KD5mKrp0Vvzr7lt3OU09vwQwhkpOPPYv2Y/edit?usp=sharing"",""งบพรบ!CG15"")"),0)</f>
        <v>0</v>
      </c>
      <c r="N165" s="425">
        <f ca="1">IFERROR(__xludf.DUMMYFUNCTION("IMPORTRANGE(""https://docs.google.com/spreadsheets/d/1-uDff_7J0KD5mKrp0Vvzr7lt3OU09vwQwhkpOPPYv2Y/edit?usp=sharing"",""งบพรบ!CI15"")"),0)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IFERROR(__xludf.DUMMYFUNCTION("IMPORTRANGE(""https://docs.google.com/spreadsheets/d/1eHaY18a8A9IcSdp1K8H6x8fbOy06t2VsZHhMHf-1x7Y/edit?usp=sharing"",""แผน!Z15"")"),10)</f>
        <v>10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94790</v>
      </c>
      <c r="N173" s="577">
        <f ca="1">N174+N175</f>
        <v>64040</v>
      </c>
      <c r="O173" s="577">
        <f ca="1">IF(L173&gt;0,N173*100/L173,0)</f>
        <v>326.90148034711586</v>
      </c>
      <c r="P173" s="577">
        <f ca="1">IF(M173&gt;0,N173*100/M173,0)</f>
        <v>67.559869184513133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94790</v>
      </c>
      <c r="N175" s="425">
        <f ca="1">N178+N181</f>
        <v>64040</v>
      </c>
      <c r="O175" s="425">
        <f ca="1">IF(L175&gt;0,N175*100/L175,0)</f>
        <v>326.90148034711586</v>
      </c>
      <c r="P175" s="425">
        <f ca="1">IF(M175&gt;0,N175*100/M175,0)</f>
        <v>67.559869184513133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94790</v>
      </c>
      <c r="N176" s="425">
        <f ca="1">N177+N178</f>
        <v>64040</v>
      </c>
      <c r="O176" s="425">
        <f ca="1">IF(L176&gt;0,N176*100/L176,0)</f>
        <v>326.90148034711586</v>
      </c>
      <c r="P176" s="425">
        <f ca="1">IF(M176&gt;0,N176*100/M176,0)</f>
        <v>67.559869184513133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IFERROR(__xludf.DUMMYFUNCTION("IMPORTRANGE(""https://docs.google.com/spreadsheets/d/1-uDff_7J0KD5mKrp0Vvzr7lt3OU09vwQwhkpOPPYv2Y/edit?usp=sharing"",""งบพรบ!CK15"")"),19590)</f>
        <v>19590</v>
      </c>
      <c r="M178" s="425">
        <f ca="1">IFERROR(__xludf.DUMMYFUNCTION("IMPORTRANGE(""https://docs.google.com/spreadsheets/d/1-uDff_7J0KD5mKrp0Vvzr7lt3OU09vwQwhkpOPPYv2Y/edit?usp=sharing"",""งบพรบ!CP15"")"),94790)</f>
        <v>94790</v>
      </c>
      <c r="N178" s="425">
        <f ca="1">IFERROR(__xludf.DUMMYFUNCTION("IMPORTRANGE(""https://docs.google.com/spreadsheets/d/1-uDff_7J0KD5mKrp0Vvzr7lt3OU09vwQwhkpOPPYv2Y/edit?usp=sharing"",""งบพรบ!CR15"")"),64040)</f>
        <v>64040</v>
      </c>
      <c r="O178" s="425">
        <f ca="1">IF(L178&gt;0,N178*100/L178,0)</f>
        <v>326.90148034711586</v>
      </c>
      <c r="P178" s="425">
        <f ca="1">IF(M178&gt;0,N178*100/M178,0)</f>
        <v>67.559869184513133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IFERROR(__xludf.DUMMYFUNCTION("IMPORTRANGE(""https://docs.google.com/spreadsheets/d/1-uDff_7J0KD5mKrp0Vvzr7lt3OU09vwQwhkpOPPYv2Y/edit?usp=sharing"",""งบพรบ!CN15"")"),0)</f>
        <v>0</v>
      </c>
      <c r="M181" s="425">
        <f ca="1">IFERROR(__xludf.DUMMYFUNCTION("IMPORTRANGE(""https://docs.google.com/spreadsheets/d/1-uDff_7J0KD5mKrp0Vvzr7lt3OU09vwQwhkpOPPYv2Y/edit?usp=sharing"",""งบพรบ!CQ15"")"),0)</f>
        <v>0</v>
      </c>
      <c r="N181" s="425">
        <f ca="1">IFERROR(__xludf.DUMMYFUNCTION("IMPORTRANGE(""https://docs.google.com/spreadsheets/d/1-uDff_7J0KD5mKrp0Vvzr7lt3OU09vwQwhkpOPPYv2Y/edit?usp=sharing"",""งบพรบ!CS15"")"),0)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IFERROR(__xludf.DUMMYFUNCTION("IMPORTRANGE(""https://docs.google.com/spreadsheets/d/1eHaY18a8A9IcSdp1K8H6x8fbOy06t2VsZHhMHf-1x7Y/edit?usp=sharing"",""แผน!AA15"")"),7)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66500</v>
      </c>
      <c r="M186" s="577">
        <f ca="1">M187+M188</f>
        <v>40500</v>
      </c>
      <c r="N186" s="577">
        <f ca="1">N187+N188</f>
        <v>0</v>
      </c>
      <c r="O186" s="577">
        <f ca="1">IF(L186&gt;0,N186*100/L186,0)</f>
        <v>0</v>
      </c>
      <c r="P186" s="577">
        <f ca="1">IF(M186&gt;0,N186*100/M186,0)</f>
        <v>0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66500</v>
      </c>
      <c r="M188" s="425">
        <f ca="1">M191+M194</f>
        <v>40500</v>
      </c>
      <c r="N188" s="425">
        <f ca="1">N191+N194</f>
        <v>0</v>
      </c>
      <c r="O188" s="425">
        <f ca="1">IF(L188&gt;0,N188*100/L188,0)</f>
        <v>0</v>
      </c>
      <c r="P188" s="425">
        <f ca="1">IF(M188&gt;0,N188*100/M188,0)</f>
        <v>0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66500</v>
      </c>
      <c r="M189" s="425">
        <f ca="1">M190+M191</f>
        <v>40500</v>
      </c>
      <c r="N189" s="425">
        <f ca="1">N190+N191</f>
        <v>0</v>
      </c>
      <c r="O189" s="425">
        <f ca="1">IF(L189&gt;0,N189*100/L189,0)</f>
        <v>0</v>
      </c>
      <c r="P189" s="425">
        <f ca="1">IF(M189&gt;0,N189*100/M189,0)</f>
        <v>0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IFERROR(__xludf.DUMMYFUNCTION("IMPORTRANGE(""https://docs.google.com/spreadsheets/d/1-uDff_7J0KD5mKrp0Vvzr7lt3OU09vwQwhkpOPPYv2Y/edit?usp=sharing"",""งบพรบ!CU15"")"),66500)</f>
        <v>66500</v>
      </c>
      <c r="M191" s="425">
        <f ca="1">IFERROR(__xludf.DUMMYFUNCTION("IMPORTRANGE(""https://docs.google.com/spreadsheets/d/1-uDff_7J0KD5mKrp0Vvzr7lt3OU09vwQwhkpOPPYv2Y/edit?usp=sharing"",""งบพรบ!CZ15"")"),40500)</f>
        <v>40500</v>
      </c>
      <c r="N191" s="425">
        <f ca="1">IFERROR(__xludf.DUMMYFUNCTION("IMPORTRANGE(""https://docs.google.com/spreadsheets/d/1-uDff_7J0KD5mKrp0Vvzr7lt3OU09vwQwhkpOPPYv2Y/edit?usp=sharing"",""งบพรบ!DB15"")"),0)</f>
        <v>0</v>
      </c>
      <c r="O191" s="425">
        <f ca="1">IF(L191&gt;0,N191*100/L191,0)</f>
        <v>0</v>
      </c>
      <c r="P191" s="425">
        <f ca="1">IF(M191&gt;0,N191*100/M191,0)</f>
        <v>0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IFERROR(__xludf.DUMMYFUNCTION("IMPORTRANGE(""https://docs.google.com/spreadsheets/d/1-uDff_7J0KD5mKrp0Vvzr7lt3OU09vwQwhkpOPPYv2Y/edit?usp=sharing"",""งบพรบ!CX15"")"),0)</f>
        <v>0</v>
      </c>
      <c r="M194" s="425">
        <f ca="1">IFERROR(__xludf.DUMMYFUNCTION("IMPORTRANGE(""https://docs.google.com/spreadsheets/d/1-uDff_7J0KD5mKrp0Vvzr7lt3OU09vwQwhkpOPPYv2Y/edit?usp=sharing"",""งบพรบ!DA15"")"),0)</f>
        <v>0</v>
      </c>
      <c r="N194" s="425">
        <f ca="1">IFERROR(__xludf.DUMMYFUNCTION("IMPORTRANGE(""https://docs.google.com/spreadsheets/d/1-uDff_7J0KD5mKrp0Vvzr7lt3OU09vwQwhkpOPPYv2Y/edit?usp=sharing"",""งบพรบ!DC15"")"),0)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IFERROR(__xludf.DUMMYFUNCTION("IMPORTRANGE(""https://docs.google.com/spreadsheets/d/1eHaY18a8A9IcSdp1K8H6x8fbOy06t2VsZHhMHf-1x7Y/edit?usp=sharing"",""แผน!AB15"")"),6000)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IFERROR(__xludf.DUMMYFUNCTION("IMPORTRANGE(""https://docs.google.com/spreadsheets/d/1eHaY18a8A9IcSdp1K8H6x8fbOy06t2VsZHhMHf-1x7Y/edit?usp=sharing"",""แผน!AE15"")"),4)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4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52000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IFERROR(__xludf.DUMMYFUNCTION("IMPORTRANGE(""https://docs.google.com/spreadsheets/d/1eHaY18a8A9IcSdp1K8H6x8fbOy06t2VsZHhMHf-1x7Y/edit?usp=sharing"",""แผน!AG15"")"),4000)</f>
        <v>4000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IFERROR(__xludf.DUMMYFUNCTION("IMPORTRANGE(""https://docs.google.com/spreadsheets/d/1eHaY18a8A9IcSdp1K8H6x8fbOy06t2VsZHhMHf-1x7Y/edit?usp=sharing"",""แผน!AH15"")"),0)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IFERROR(__xludf.DUMMYFUNCTION("IMPORTRANGE(""https://docs.google.com/spreadsheets/d/1eHaY18a8A9IcSdp1K8H6x8fbOy06t2VsZHhMHf-1x7Y/edit?usp=sharing"",""แผน!AI15"")"),32000)</f>
        <v>32000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IFERROR(__xludf.DUMMYFUNCTION("IMPORTRANGE(""https://docs.google.com/spreadsheets/d/1eHaY18a8A9IcSdp1K8H6x8fbOy06t2VsZHhMHf-1x7Y/edit?usp=sharing"",""แผน!AJ15"")"),16000)</f>
        <v>16000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IFERROR(__xludf.DUMMYFUNCTION("IMPORTRANGE(""https://docs.google.com/spreadsheets/d/1eHaY18a8A9IcSdp1K8H6x8fbOy06t2VsZHhMHf-1x7Y/edit?usp=sharing"",""แผน!AK15"")"),4)</f>
        <v>4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IFERROR(__xludf.DUMMYFUNCTION("IMPORTRANGE(""https://docs.google.com/spreadsheets/d/1eHaY18a8A9IcSdp1K8H6x8fbOy06t2VsZHhMHf-1x7Y/edit?usp=sharing"",""แผน!JX15"")"),4)</f>
        <v>4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IFERROR(__xludf.DUMMYFUNCTION("IMPORTRANGE(""https://docs.google.com/spreadsheets/d/1eHaY18a8A9IcSdp1K8H6x8fbOy06t2VsZHhMHf-1x7Y/edit?usp=sharing"",""แผน!JY15"")"),0)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IFERROR(__xludf.DUMMYFUNCTION("IMPORTRANGE(""https://docs.google.com/spreadsheets/d/1eHaY18a8A9IcSdp1K8H6x8fbOy06t2VsZHhMHf-1x7Y/edit?usp=sharing"",""แผน!AM15"")"),0)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IFERROR(__xludf.DUMMYFUNCTION("IMPORTRANGE(""https://docs.google.com/spreadsheets/d/1eHaY18a8A9IcSdp1K8H6x8fbOy06t2VsZHhMHf-1x7Y/edit?usp=sharing"",""แผน!AN15"")"),0)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IFERROR(__xludf.DUMMYFUNCTION("IMPORTRANGE(""https://docs.google.com/spreadsheets/d/1eHaY18a8A9IcSdp1K8H6x8fbOy06t2VsZHhMHf-1x7Y/edit?usp=sharing"",""แผน!AO15"")"),0)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IFERROR(__xludf.DUMMYFUNCTION("IMPORTRANGE(""https://docs.google.com/spreadsheets/d/1eHaY18a8A9IcSdp1K8H6x8fbOy06t2VsZHhMHf-1x7Y/edit?usp=sharing"",""แผน!AP15"")"),0)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IFERROR(__xludf.DUMMYFUNCTION("IMPORTRANGE(""https://docs.google.com/spreadsheets/d/1eHaY18a8A9IcSdp1K8H6x8fbOy06t2VsZHhMHf-1x7Y/edit?usp=sharing"",""แผน!AP15"")"),0)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60000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8500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IFERROR(__xludf.DUMMYFUNCTION("IMPORTRANGE(""https://docs.google.com/spreadsheets/d/1eHaY18a8A9IcSdp1K8H6x8fbOy06t2VsZHhMHf-1x7Y/edit?usp=sharing"",""แผน!AR15"")"),7000)</f>
        <v>7000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IFERROR(__xludf.DUMMYFUNCTION("IMPORTRANGE(""https://docs.google.com/spreadsheets/d/1eHaY18a8A9IcSdp1K8H6x8fbOy06t2VsZHhMHf-1x7Y/edit?usp=sharing"",""แผน!AS15"")"),1500)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IFERROR(__xludf.DUMMYFUNCTION("IMPORTRANGE(""https://docs.google.com/spreadsheets/d/1eHaY18a8A9IcSdp1K8H6x8fbOy06t2VsZHhMHf-1x7Y/edit?usp=sharing"",""แผน!AT15"")"),0)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IFERROR(__xludf.DUMMYFUNCTION("IMPORTRANGE(""https://docs.google.com/spreadsheets/d/1eHaY18a8A9IcSdp1K8H6x8fbOy06t2VsZHhMHf-1x7Y/edit?usp=sharing"",""แผน!AV15"")"),60000)</f>
        <v>60000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IFERROR(__xludf.DUMMYFUNCTION("IMPORTRANGE(""https://docs.google.com/spreadsheets/d/1eHaY18a8A9IcSdp1K8H6x8fbOy06t2VsZHhMHf-1x7Y/edit?usp=sharing"",""แผน!AV15"")"),60000)</f>
        <v>60000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IFERROR(__xludf.DUMMYFUNCTION("IMPORTRANGE(""https://docs.google.com/spreadsheets/d/1eHaY18a8A9IcSdp1K8H6x8fbOy06t2VsZHhMHf-1x7Y/edit?usp=sharing"",""แผน!AU15"")"),0)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IFERROR(__xludf.DUMMYFUNCTION("IMPORTRANGE(""https://docs.google.com/spreadsheets/d/1eHaY18a8A9IcSdp1K8H6x8fbOy06t2VsZHhMHf-1x7Y/edit?usp=sharing"",""แผน!AX15"")"),0)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IFERROR(__xludf.DUMMYFUNCTION("IMPORTRANGE(""https://docs.google.com/spreadsheets/d/1eHaY18a8A9IcSdp1K8H6x8fbOy06t2VsZHhMHf-1x7Y/edit?usp=sharing"",""แผน!AY15"")"),0)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IFERROR(__xludf.DUMMYFUNCTION("IMPORTRANGE(""https://docs.google.com/spreadsheets/d/1eHaY18a8A9IcSdp1K8H6x8fbOy06t2VsZHhMHf-1x7Y/edit?usp=sharing"",""แผน!AZ15"")"),0)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IFERROR(__xludf.DUMMYFUNCTION("IMPORTRANGE(""https://docs.google.com/spreadsheets/d/1eHaY18a8A9IcSdp1K8H6x8fbOy06t2VsZHhMHf-1x7Y/edit?usp=sharing"",""แผน!BA15"")"),0)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IFERROR(__xludf.DUMMYFUNCTION("IMPORTRANGE(""https://docs.google.com/spreadsheets/d/1eHaY18a8A9IcSdp1K8H6x8fbOy06t2VsZHhMHf-1x7Y/edit?usp=sharing"",""แผน!BG15"")"),0)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IFERROR(__xludf.DUMMYFUNCTION("IMPORTRANGE(""https://docs.google.com/spreadsheets/d/1eHaY18a8A9IcSdp1K8H6x8fbOy06t2VsZHhMHf-1x7Y/edit?usp=sharing"",""แผน!BB15"")"),0)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IFERROR(__xludf.DUMMYFUNCTION("IMPORTRANGE(""https://docs.google.com/spreadsheets/d/1eHaY18a8A9IcSdp1K8H6x8fbOy06t2VsZHhMHf-1x7Y/edit?usp=sharing"",""แผน!BC15"")"),0)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IFERROR(__xludf.DUMMYFUNCTION("IMPORTRANGE(""https://docs.google.com/spreadsheets/d/1eHaY18a8A9IcSdp1K8H6x8fbOy06t2VsZHhMHf-1x7Y/edit?usp=sharing"",""แผน!BD15"")"),0)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IFERROR(__xludf.DUMMYFUNCTION("IMPORTRANGE(""https://docs.google.com/spreadsheets/d/1eHaY18a8A9IcSdp1K8H6x8fbOy06t2VsZHhMHf-1x7Y/edit?usp=sharing"",""แผน!BE15"")"),0)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IFERROR(__xludf.DUMMYFUNCTION("IMPORTRANGE(""https://docs.google.com/spreadsheets/d/1eHaY18a8A9IcSdp1K8H6x8fbOy06t2VsZHhMHf-1x7Y/edit?usp=sharing"",""แผน!BH15"")"),0)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IFERROR(__xludf.DUMMYFUNCTION("IMPORTRANGE(""https://docs.google.com/spreadsheets/d/1-uDff_7J0KD5mKrp0Vvzr7lt3OU09vwQwhkpOPPYv2Y/edit?usp=sharing"",""งบพรบ!DE15"")"),0)</f>
        <v>0</v>
      </c>
      <c r="M271" s="521">
        <f ca="1">IFERROR(__xludf.DUMMYFUNCTION("IMPORTRANGE(""https://docs.google.com/spreadsheets/d/1-uDff_7J0KD5mKrp0Vvzr7lt3OU09vwQwhkpOPPYv2Y/edit?usp=sharing"",""งบพรบ!DJ15"")"),0)</f>
        <v>0</v>
      </c>
      <c r="N271" s="521">
        <f ca="1">IFERROR(__xludf.DUMMYFUNCTION("IMPORTRANGE(""https://docs.google.com/spreadsheets/d/1-uDff_7J0KD5mKrp0Vvzr7lt3OU09vwQwhkpOPPYv2Y/edit?usp=sharing"",""งบพรบ!DL15"")"),0)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IFERROR(__xludf.DUMMYFUNCTION("IMPORTRANGE(""https://docs.google.com/spreadsheets/d/1-uDff_7J0KD5mKrp0Vvzr7lt3OU09vwQwhkpOPPYv2Y/edit?usp=sharing"",""งบพรบ!DH15"")"),0)</f>
        <v>0</v>
      </c>
      <c r="M274" s="521">
        <f ca="1">IFERROR(__xludf.DUMMYFUNCTION("IMPORTRANGE(""https://docs.google.com/spreadsheets/d/1-uDff_7J0KD5mKrp0Vvzr7lt3OU09vwQwhkpOPPYv2Y/edit?usp=sharing"",""งบพรบ!DK15"")"),0)</f>
        <v>0</v>
      </c>
      <c r="N274" s="521">
        <f ca="1">IFERROR(__xludf.DUMMYFUNCTION("IMPORTRANGE(""https://docs.google.com/spreadsheets/d/1-uDff_7J0KD5mKrp0Vvzr7lt3OU09vwQwhkpOPPYv2Y/edit?usp=sharing"",""งบพรบ!DM15"")"),0)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30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300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85120</v>
      </c>
      <c r="M282" s="577">
        <f ca="1">M283+M284</f>
        <v>73480</v>
      </c>
      <c r="N282" s="577">
        <f ca="1">N283+N284</f>
        <v>1360</v>
      </c>
      <c r="O282" s="577">
        <f ca="1">IF(L282&gt;0,N282*100/L282,0)</f>
        <v>1.5977443609022557</v>
      </c>
      <c r="P282" s="577">
        <f ca="1">IF(M282&gt;0,N282*100/M282,0)</f>
        <v>1.8508437670114317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85120</v>
      </c>
      <c r="M284" s="425">
        <f ca="1">M287+M290</f>
        <v>73480</v>
      </c>
      <c r="N284" s="425">
        <f ca="1">N287+N290</f>
        <v>1360</v>
      </c>
      <c r="O284" s="425">
        <f ca="1">IF(L284&gt;0,N284*100/L284,0)</f>
        <v>1.5977443609022557</v>
      </c>
      <c r="P284" s="425">
        <f ca="1">IF(M284&gt;0,N284*100/M284,0)</f>
        <v>1.8508437670114317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85120</v>
      </c>
      <c r="M285" s="425">
        <f ca="1">M286+M287</f>
        <v>73480</v>
      </c>
      <c r="N285" s="425">
        <f ca="1">N286+N287</f>
        <v>1360</v>
      </c>
      <c r="O285" s="425">
        <f ca="1">IF(L285&gt;0,N285*100/L285,0)</f>
        <v>1.5977443609022557</v>
      </c>
      <c r="P285" s="425">
        <f ca="1">IF(M285&gt;0,N285*100/M285,0)</f>
        <v>1.8508437670114317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IFERROR(__xludf.DUMMYFUNCTION("IMPORTRANGE(""https://docs.google.com/spreadsheets/d/1-uDff_7J0KD5mKrp0Vvzr7lt3OU09vwQwhkpOPPYv2Y/edit?usp=sharing"",""งบพรบ!DO15"")"),85120)</f>
        <v>85120</v>
      </c>
      <c r="M287" s="425">
        <f ca="1">IFERROR(__xludf.DUMMYFUNCTION("IMPORTRANGE(""https://docs.google.com/spreadsheets/d/1-uDff_7J0KD5mKrp0Vvzr7lt3OU09vwQwhkpOPPYv2Y/edit?usp=sharing"",""งบพรบ!DT15"")"),73480)</f>
        <v>73480</v>
      </c>
      <c r="N287" s="425">
        <f ca="1">IFERROR(__xludf.DUMMYFUNCTION("IMPORTRANGE(""https://docs.google.com/spreadsheets/d/1-uDff_7J0KD5mKrp0Vvzr7lt3OU09vwQwhkpOPPYv2Y/edit?usp=sharing"",""งบพรบ!DV15"")"),1360)</f>
        <v>1360</v>
      </c>
      <c r="O287" s="425">
        <f ca="1">IF(L287&gt;0,N287*100/L287,0)</f>
        <v>1.5977443609022557</v>
      </c>
      <c r="P287" s="425">
        <f ca="1">IF(M287&gt;0,N287*100/M287,0)</f>
        <v>1.8508437670114317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IFERROR(__xludf.DUMMYFUNCTION("IMPORTRANGE(""https://docs.google.com/spreadsheets/d/1-uDff_7J0KD5mKrp0Vvzr7lt3OU09vwQwhkpOPPYv2Y/edit?usp=sharing"",""งบพรบ!DR15"")"),0)</f>
        <v>0</v>
      </c>
      <c r="M290" s="425">
        <f ca="1">IFERROR(__xludf.DUMMYFUNCTION("IMPORTRANGE(""https://docs.google.com/spreadsheets/d/1-uDff_7J0KD5mKrp0Vvzr7lt3OU09vwQwhkpOPPYv2Y/edit?usp=sharing"",""งบพรบ!DU15"")"),0)</f>
        <v>0</v>
      </c>
      <c r="N290" s="425">
        <f ca="1">IFERROR(__xludf.DUMMYFUNCTION("IMPORTRANGE(""https://docs.google.com/spreadsheets/d/1-uDff_7J0KD5mKrp0Vvzr7lt3OU09vwQwhkpOPPYv2Y/edit?usp=sharing"",""งบพรบ!DW15"")"),0)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IFERROR(__xludf.DUMMYFUNCTION("IMPORTRANGE(""https://docs.google.com/spreadsheets/d/1eHaY18a8A9IcSdp1K8H6x8fbOy06t2VsZHhMHf-1x7Y/edit?usp=sharing"",""แผน!EE15"")"),300)</f>
        <v>300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IFERROR(__xludf.DUMMYFUNCTION("IMPORTRANGE(""https://docs.google.com/spreadsheets/d/1eHaY18a8A9IcSdp1K8H6x8fbOy06t2VsZHhMHf-1x7Y/edit?usp=sharing"",""แผน!ED15"")"),30)</f>
        <v>30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IFERROR(__xludf.DUMMYFUNCTION("IMPORTRANGE(""https://docs.google.com/spreadsheets/d/1eHaY18a8A9IcSdp1K8H6x8fbOy06t2VsZHhMHf-1x7Y/edit?usp=sharing"",""แผน!ED15"")"),30)</f>
        <v>30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IFERROR(__xludf.DUMMYFUNCTION("IMPORTRANGE(""https://docs.google.com/spreadsheets/d/1eHaY18a8A9IcSdp1K8H6x8fbOy06t2VsZHhMHf-1x7Y/edit?usp=sharing"",""แผน!ED15"")"),30)</f>
        <v>30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20</v>
      </c>
      <c r="J302" s="598">
        <f>J314</f>
        <v>20</v>
      </c>
      <c r="K302" s="597">
        <f ca="1">IF(I302&gt;0,J302*100/I302,0)</f>
        <v>100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389000</v>
      </c>
      <c r="M303" s="577">
        <f ca="1">M304+M305</f>
        <v>283400</v>
      </c>
      <c r="N303" s="577">
        <f ca="1">N304+N305</f>
        <v>67857.8</v>
      </c>
      <c r="O303" s="577">
        <f ca="1">IF(L303&gt;0,N303*100/L303,0)</f>
        <v>17.444164524421595</v>
      </c>
      <c r="P303" s="577">
        <f ca="1">IF(M303&gt;0,N303*100/M303,0)</f>
        <v>23.944177840508114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389000</v>
      </c>
      <c r="M305" s="425">
        <f ca="1">M308+M311</f>
        <v>283400</v>
      </c>
      <c r="N305" s="425">
        <f ca="1">N308+N311</f>
        <v>67857.8</v>
      </c>
      <c r="O305" s="425">
        <f ca="1">IF(L305&gt;0,N305*100/L305,0)</f>
        <v>17.444164524421595</v>
      </c>
      <c r="P305" s="425">
        <f ca="1">IF(M305&gt;0,N305*100/M305,0)</f>
        <v>23.944177840508114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389000</v>
      </c>
      <c r="M306" s="425">
        <f ca="1">M307+M308</f>
        <v>283400</v>
      </c>
      <c r="N306" s="425">
        <f ca="1">N307+N308</f>
        <v>67857.8</v>
      </c>
      <c r="O306" s="425">
        <f ca="1">IF(L306&gt;0,N306*100/L306,0)</f>
        <v>17.444164524421595</v>
      </c>
      <c r="P306" s="425">
        <f ca="1">IF(M306&gt;0,N306*100/M306,0)</f>
        <v>23.944177840508114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IFERROR(__xludf.DUMMYFUNCTION("IMPORTRANGE(""https://docs.google.com/spreadsheets/d/1-uDff_7J0KD5mKrp0Vvzr7lt3OU09vwQwhkpOPPYv2Y/edit?usp=sharing"",""งบพรบ!DY15"")"),389000)</f>
        <v>389000</v>
      </c>
      <c r="M308" s="425">
        <f ca="1">IFERROR(__xludf.DUMMYFUNCTION("IMPORTRANGE(""https://docs.google.com/spreadsheets/d/1-uDff_7J0KD5mKrp0Vvzr7lt3OU09vwQwhkpOPPYv2Y/edit?usp=sharing"",""งบพรบ!ED15"")"),283400)</f>
        <v>283400</v>
      </c>
      <c r="N308" s="425">
        <f ca="1">IFERROR(__xludf.DUMMYFUNCTION("IMPORTRANGE(""https://docs.google.com/spreadsheets/d/1-uDff_7J0KD5mKrp0Vvzr7lt3OU09vwQwhkpOPPYv2Y/edit?usp=sharing"",""งบพรบ!EF15"")"),67857.8)</f>
        <v>67857.8</v>
      </c>
      <c r="O308" s="425">
        <f ca="1">IF(L308&gt;0,N308*100/L308,0)</f>
        <v>17.444164524421595</v>
      </c>
      <c r="P308" s="425">
        <f ca="1">IF(M308&gt;0,N308*100/M308,0)</f>
        <v>23.944177840508114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IFERROR(__xludf.DUMMYFUNCTION("IMPORTRANGE(""https://docs.google.com/spreadsheets/d/1-uDff_7J0KD5mKrp0Vvzr7lt3OU09vwQwhkpOPPYv2Y/edit?usp=sharing"",""งบพรบ!EB15"")"),0)</f>
        <v>0</v>
      </c>
      <c r="M311" s="425">
        <f ca="1">IFERROR(__xludf.DUMMYFUNCTION("IMPORTRANGE(""https://docs.google.com/spreadsheets/d/1-uDff_7J0KD5mKrp0Vvzr7lt3OU09vwQwhkpOPPYv2Y/edit?usp=sharing"",""งบพรบ!EE15"")"),0)</f>
        <v>0</v>
      </c>
      <c r="N311" s="425">
        <f ca="1">IFERROR(__xludf.DUMMYFUNCTION("IMPORTRANGE(""https://docs.google.com/spreadsheets/d/1-uDff_7J0KD5mKrp0Vvzr7lt3OU09vwQwhkpOPPYv2Y/edit?usp=sharing"",""งบพรบ!EG15"")"),0)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1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IFERROR(__xludf.DUMMYFUNCTION("IMPORTRANGE(""https://docs.google.com/spreadsheets/d/1eHaY18a8A9IcSdp1K8H6x8fbOy06t2VsZHhMHf-1x7Y/edit?usp=sharing"",""แผน!EF15"")"),20)</f>
        <v>20</v>
      </c>
      <c r="J314" s="595">
        <v>20</v>
      </c>
      <c r="K314" s="425">
        <f ca="1">IF(I314&gt;0,J314*100/I314,0)</f>
        <v>100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IFERROR(__xludf.DUMMYFUNCTION("IMPORTRANGE(""https://docs.google.com/spreadsheets/d/1eHaY18a8A9IcSdp1K8H6x8fbOy06t2VsZHhMHf-1x7Y/edit?usp=sharing"",""แผน!EG15"")"),4)</f>
        <v>4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IFERROR(__xludf.DUMMYFUNCTION("IMPORTRANGE(""https://docs.google.com/spreadsheets/d/1eHaY18a8A9IcSdp1K8H6x8fbOy06t2VsZHhMHf-1x7Y/edit?usp=sharing"",""แผน!EH15"")"),20)</f>
        <v>20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IFERROR(__xludf.DUMMYFUNCTION("IMPORTRANGE(""https://docs.google.com/spreadsheets/d/1eHaY18a8A9IcSdp1K8H6x8fbOy06t2VsZHhMHf-1x7Y/edit?usp=sharing"",""แผน!EI15"")"),4)</f>
        <v>4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IFERROR(__xludf.DUMMYFUNCTION("IMPORTRANGE(""https://docs.google.com/spreadsheets/d/1-uDff_7J0KD5mKrp0Vvzr7lt3OU09vwQwhkpOPPYv2Y/edit?usp=sharing"",""งบพรบ!EI15"")"),0)</f>
        <v>0</v>
      </c>
      <c r="M325" s="425">
        <f ca="1">IFERROR(__xludf.DUMMYFUNCTION("IMPORTRANGE(""https://docs.google.com/spreadsheets/d/1-uDff_7J0KD5mKrp0Vvzr7lt3OU09vwQwhkpOPPYv2Y/edit?usp=sharing"",""งบพรบ!EN15"")"),0)</f>
        <v>0</v>
      </c>
      <c r="N325" s="425">
        <f ca="1">IFERROR(__xludf.DUMMYFUNCTION("IMPORTRANGE(""https://docs.google.com/spreadsheets/d/1-uDff_7J0KD5mKrp0Vvzr7lt3OU09vwQwhkpOPPYv2Y/edit?usp=sharing"",""งบพรบ!EP15"")"),0)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IFERROR(__xludf.DUMMYFUNCTION("IMPORTRANGE(""https://docs.google.com/spreadsheets/d/1-uDff_7J0KD5mKrp0Vvzr7lt3OU09vwQwhkpOPPYv2Y/edit?usp=sharing"",""งบพรบ!EL15"")"),0)</f>
        <v>0</v>
      </c>
      <c r="M328" s="425">
        <f ca="1">IFERROR(__xludf.DUMMYFUNCTION("IMPORTRANGE(""https://docs.google.com/spreadsheets/d/1-uDff_7J0KD5mKrp0Vvzr7lt3OU09vwQwhkpOPPYv2Y/edit?usp=sharing"",""งบพรบ!EO15"")"),0)</f>
        <v>0</v>
      </c>
      <c r="N328" s="425">
        <f ca="1">IFERROR(__xludf.DUMMYFUNCTION("IMPORTRANGE(""https://docs.google.com/spreadsheets/d/1-uDff_7J0KD5mKrp0Vvzr7lt3OU09vwQwhkpOPPYv2Y/edit?usp=sharing"",""งบพรบ!EQ15"")"),0)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IFERROR(__xludf.DUMMYFUNCTION("IMPORTRANGE(""https://docs.google.com/spreadsheets/d/1eHaY18a8A9IcSdp1K8H6x8fbOy06t2VsZHhMHf-1x7Y/edit?usp=sharing"",""แผน!EJ15"")"),0)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4000</v>
      </c>
      <c r="J332" s="402">
        <f ca="1">J344+J347+J348+J349+J353</f>
        <v>2850</v>
      </c>
      <c r="K332" s="403">
        <f ca="1">IF(I332&gt;0,J332*100/I332,0)</f>
        <v>71.25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116000</v>
      </c>
      <c r="M333" s="577">
        <f ca="1">M334+M335</f>
        <v>90550</v>
      </c>
      <c r="N333" s="577">
        <f ca="1">N334+N335</f>
        <v>51690</v>
      </c>
      <c r="O333" s="577">
        <f ca="1">IF(L333&gt;0,N333*100/L333,0)</f>
        <v>44.560344827586206</v>
      </c>
      <c r="P333" s="577">
        <f ca="1">IF(M333&gt;0,N333*100/M333,0)</f>
        <v>57.084483710657096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116000</v>
      </c>
      <c r="M335" s="425">
        <f ca="1">M338+M341</f>
        <v>90550</v>
      </c>
      <c r="N335" s="425">
        <f ca="1">N338+N341</f>
        <v>51690</v>
      </c>
      <c r="O335" s="425">
        <f ca="1">IF(L335&gt;0,N335*100/L335,0)</f>
        <v>44.560344827586206</v>
      </c>
      <c r="P335" s="425">
        <f ca="1">IF(M335&gt;0,N335*100/M335,0)</f>
        <v>57.084483710657096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116000</v>
      </c>
      <c r="M336" s="425">
        <f ca="1">M337+M338</f>
        <v>90550</v>
      </c>
      <c r="N336" s="425">
        <f ca="1">N337+N338</f>
        <v>51690</v>
      </c>
      <c r="O336" s="425">
        <f ca="1">IF(L336&gt;0,N336*100/L336,0)</f>
        <v>44.560344827586206</v>
      </c>
      <c r="P336" s="425">
        <f ca="1">IF(M336&gt;0,N336*100/M336,0)</f>
        <v>57.084483710657096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IFERROR(__xludf.DUMMYFUNCTION("IMPORTRANGE(""https://docs.google.com/spreadsheets/d/1-uDff_7J0KD5mKrp0Vvzr7lt3OU09vwQwhkpOPPYv2Y/edit?usp=sharing"",""งบพรบ!ES15"")"),116000)</f>
        <v>116000</v>
      </c>
      <c r="M338" s="425">
        <f ca="1">IFERROR(__xludf.DUMMYFUNCTION("IMPORTRANGE(""https://docs.google.com/spreadsheets/d/1-uDff_7J0KD5mKrp0Vvzr7lt3OU09vwQwhkpOPPYv2Y/edit?usp=sharing"",""งบพรบ!EX15"")"),90550)</f>
        <v>90550</v>
      </c>
      <c r="N338" s="425">
        <f ca="1">IFERROR(__xludf.DUMMYFUNCTION("IMPORTRANGE(""https://docs.google.com/spreadsheets/d/1-uDff_7J0KD5mKrp0Vvzr7lt3OU09vwQwhkpOPPYv2Y/edit?usp=sharing"",""งบพรบ!EZ15"")"),51690)</f>
        <v>51690</v>
      </c>
      <c r="O338" s="425">
        <f ca="1">IF(L338&gt;0,N338*100/L338,0)</f>
        <v>44.560344827586206</v>
      </c>
      <c r="P338" s="425">
        <f ca="1">IF(M338&gt;0,N338*100/M338,0)</f>
        <v>57.084483710657096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IFERROR(__xludf.DUMMYFUNCTION("IMPORTRANGE(""https://docs.google.com/spreadsheets/d/1-uDff_7J0KD5mKrp0Vvzr7lt3OU09vwQwhkpOPPYv2Y/edit?usp=sharing"",""งบพรบ!EV15"")"),0)</f>
        <v>0</v>
      </c>
      <c r="M341" s="425">
        <f ca="1">IFERROR(__xludf.DUMMYFUNCTION("IMPORTRANGE(""https://docs.google.com/spreadsheets/d/1-uDff_7J0KD5mKrp0Vvzr7lt3OU09vwQwhkpOPPYv2Y/edit?usp=sharing"",""งบพรบ!EY15"")"),0)</f>
        <v>0</v>
      </c>
      <c r="N341" s="425">
        <f ca="1">IFERROR(__xludf.DUMMYFUNCTION("IMPORTRANGE(""https://docs.google.com/spreadsheets/d/1-uDff_7J0KD5mKrp0Vvzr7lt3OU09vwQwhkpOPPYv2Y/edit?usp=sharing"",""งบพรบ!FA15"")"),0)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1600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IFERROR(__xludf.DUMMYFUNCTION("IMPORTRANGE(""https://docs.google.com/spreadsheets/d/1eHaY18a8A9IcSdp1K8H6x8fbOy06t2VsZHhMHf-1x7Y/edit?usp=sharing"",""แผน!EK15"")"),4000)</f>
        <v>4000</v>
      </c>
      <c r="J344" s="424">
        <f ca="1">IFERROR(__xludf.DUMMYFUNCTION("IMPORTRANGE(""https://docs.google.com/spreadsheets/d/1awYsYK3VOup2i3Pq_Yjnu8DRu_mYwSBnCR2QPthd0rU/edit?usp=sharing"",""ศูนย์ยกเว้นโฉนด!D15"")"),1589)</f>
        <v>1589</v>
      </c>
      <c r="K344" s="425">
        <f ca="1">IF(I344&gt;0,J344*100/I344,0)</f>
        <v>39.725000000000001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IFERROR(__xludf.DUMMYFUNCTION("IMPORTRANGE(""https://docs.google.com/spreadsheets/d/1eHaY18a8A9IcSdp1K8H6x8fbOy06t2VsZHhMHf-1x7Y/edit?usp=sharing"",""แผน!EL15"")"),5)</f>
        <v>5</v>
      </c>
      <c r="J346" s="424">
        <f ca="1">IFERROR(__xludf.DUMMYFUNCTION("IMPORTRANGE(""https://docs.google.com/spreadsheets/d/1awYsYK3VOup2i3Pq_Yjnu8DRu_mYwSBnCR2QPthd0rU/edit?usp=sharing"",""ศูนย์รวม!E15"")"),0)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IFERROR(__xludf.DUMMYFUNCTION("IMPORTRANGE(""https://docs.google.com/spreadsheets/d/1awYsYK3VOup2i3Pq_Yjnu8DRu_mYwSBnCR2QPthd0rU/edit?usp=sharing"",""ศูนย์ยกเว้นโฉนด!F15"")"),4)</f>
        <v>4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IFERROR(__xludf.DUMMYFUNCTION("IMPORTRANGE(""https://docs.google.com/spreadsheets/d/1awYsYK3VOup2i3Pq_Yjnu8DRu_mYwSBnCR2QPthd0rU/edit?usp=sharing"",""ศูนย์ยกเว้นโฉนด!G15"")"),7)</f>
        <v>7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IFERROR(__xludf.DUMMYFUNCTION("IMPORTRANGE(""https://docs.google.com/spreadsheets/d/1awYsYK3VOup2i3Pq_Yjnu8DRu_mYwSBnCR2QPthd0rU/edit?usp=sharing"",""ศูนย์ยกเว้นโฉนด!H15"")"),0)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4577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IFERROR(__xludf.DUMMYFUNCTION("IMPORTRANGE(""https://docs.google.com/spreadsheets/d/1awYsYK3VOup2i3Pq_Yjnu8DRu_mYwSBnCR2QPthd0rU/edit?usp=sharing"",""โฉนดM3!G15"")"),3327)</f>
        <v>3327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IFERROR(__xludf.DUMMYFUNCTION("IMPORTRANGE(""https://docs.google.com/spreadsheets/d/1awYsYK3VOup2i3Pq_Yjnu8DRu_mYwSBnCR2QPthd0rU/edit?usp=sharing"",""โฉนดM3!H15"")"),1250)</f>
        <v>1250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656110</v>
      </c>
      <c r="M356" s="577">
        <f ca="1">M357+M358</f>
        <v>604110</v>
      </c>
      <c r="N356" s="577">
        <f ca="1">N357+N358</f>
        <v>33728.39</v>
      </c>
      <c r="O356" s="577">
        <f ca="1">IF(L356&gt;0,N356*100/L356,0)</f>
        <v>5.1406608647940129</v>
      </c>
      <c r="P356" s="577">
        <f ca="1">IF(M356&gt;0,N356*100/M356,0)</f>
        <v>5.5831537302809089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656110</v>
      </c>
      <c r="M358" s="425">
        <f ca="1">M361+M364</f>
        <v>604110</v>
      </c>
      <c r="N358" s="425">
        <f ca="1">N361+N364</f>
        <v>33728.39</v>
      </c>
      <c r="O358" s="425">
        <f ca="1">IF(L358&gt;0,N358*100/L358,0)</f>
        <v>5.1406608647940129</v>
      </c>
      <c r="P358" s="425">
        <f ca="1">IF(M358&gt;0,N358*100/M358,0)</f>
        <v>5.5831537302809089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656110</v>
      </c>
      <c r="M359" s="425">
        <f ca="1">M360+M361</f>
        <v>604110</v>
      </c>
      <c r="N359" s="425">
        <f ca="1">N360+N361</f>
        <v>33728.39</v>
      </c>
      <c r="O359" s="425">
        <f ca="1">IF(L359&gt;0,N359*100/L359,0)</f>
        <v>5.1406608647940129</v>
      </c>
      <c r="P359" s="425">
        <f ca="1">IF(M359&gt;0,N359*100/M359,0)</f>
        <v>5.5831537302809089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IFERROR(__xludf.DUMMYFUNCTION("IMPORTRANGE(""https://docs.google.com/spreadsheets/d/1-uDff_7J0KD5mKrp0Vvzr7lt3OU09vwQwhkpOPPYv2Y/edit?usp=sharing"",""งบพรบ!FC15"")"),656110)</f>
        <v>656110</v>
      </c>
      <c r="M361" s="425">
        <f ca="1">IFERROR(__xludf.DUMMYFUNCTION("IMPORTRANGE(""https://docs.google.com/spreadsheets/d/1-uDff_7J0KD5mKrp0Vvzr7lt3OU09vwQwhkpOPPYv2Y/edit?usp=sharing"",""งบพรบ!FH15"")"),604110)</f>
        <v>604110</v>
      </c>
      <c r="N361" s="425">
        <f ca="1">IFERROR(__xludf.DUMMYFUNCTION("IMPORTRANGE(""https://docs.google.com/spreadsheets/d/1-uDff_7J0KD5mKrp0Vvzr7lt3OU09vwQwhkpOPPYv2Y/edit?usp=sharing"",""งบพรบ!FJ15"")"),33728.39)</f>
        <v>33728.39</v>
      </c>
      <c r="O361" s="425">
        <f ca="1">IF(L361&gt;0,N361*100/L361,0)</f>
        <v>5.1406608647940129</v>
      </c>
      <c r="P361" s="425">
        <f ca="1">IF(M361&gt;0,N361*100/M361,0)</f>
        <v>5.5831537302809089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IFERROR(__xludf.DUMMYFUNCTION("IMPORTRANGE(""https://docs.google.com/spreadsheets/d/1-uDff_7J0KD5mKrp0Vvzr7lt3OU09vwQwhkpOPPYv2Y/edit?usp=sharing"",""งบพรบ!FF15"")"),0)</f>
        <v>0</v>
      </c>
      <c r="M364" s="425">
        <f ca="1">IFERROR(__xludf.DUMMYFUNCTION("IMPORTRANGE(""https://docs.google.com/spreadsheets/d/1-uDff_7J0KD5mKrp0Vvzr7lt3OU09vwQwhkpOPPYv2Y/edit?usp=sharing"",""งบพรบ!FI15"")"),0)</f>
        <v>0</v>
      </c>
      <c r="N364" s="425">
        <f ca="1">IFERROR(__xludf.DUMMYFUNCTION("IMPORTRANGE(""https://docs.google.com/spreadsheets/d/1-uDff_7J0KD5mKrp0Vvzr7lt3OU09vwQwhkpOPPYv2Y/edit?usp=sharing"",""งบพรบ!FK15"")"),0)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535</v>
      </c>
      <c r="J365" s="438">
        <f ca="1">J371</f>
        <v>126</v>
      </c>
      <c r="K365" s="439">
        <f ca="1">IF(I365&gt;0,J365*100/I365,0)</f>
        <v>23.55140186915888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IFERROR(__xludf.DUMMYFUNCTION("IMPORTRANGE(""https://docs.google.com/spreadsheets/d/1tdoBKaGub7dwA3U6UFTqxio9LNnvDCQjHKmttSEBsFQ/edit?usp=sharing"",""จัดที่ดิน!AB15"")"),8)</f>
        <v>8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IFERROR(__xludf.DUMMYFUNCTION("IMPORTRANGE(""https://docs.google.com/spreadsheets/d/1eHaY18a8A9IcSdp1K8H6x8fbOy06t2VsZHhMHf-1x7Y/edit?usp=sharing"",""แผน!EW15"")"),4250)</f>
        <v>4250</v>
      </c>
      <c r="J368" s="565">
        <f ca="1">IFERROR(__xludf.DUMMYFUNCTION("IMPORTRANGE(""https://docs.google.com/spreadsheets/d/1tdoBKaGub7dwA3U6UFTqxio9LNnvDCQjHKmttSEBsFQ/edit?usp=sharing"",""จัดที่ดิน!AC15"")"),46.18)</f>
        <v>46.18</v>
      </c>
      <c r="K368" s="425">
        <f ca="1">IF(I368&gt;0,J368*100/I368,0)</f>
        <v>1.0865882352941176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IFERROR(__xludf.DUMMYFUNCTION("IMPORTRANGE(""https://docs.google.com/spreadsheets/d/1eHaY18a8A9IcSdp1K8H6x8fbOy06t2VsZHhMHf-1x7Y/edit?usp=sharing"",""แผน!EX15"")"),805)</f>
        <v>805</v>
      </c>
      <c r="J369" s="424">
        <f ca="1">IFERROR(__xludf.DUMMYFUNCTION("IMPORTRANGE(""https://docs.google.com/spreadsheets/d/1tdoBKaGub7dwA3U6UFTqxio9LNnvDCQjHKmttSEBsFQ/edit?usp=sharing"",""จัดที่ดิน!AD15"")"),180)</f>
        <v>180</v>
      </c>
      <c r="K369" s="425">
        <f ca="1">IF(I369&gt;0,J369*100/I369,0)</f>
        <v>22.36024844720497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IFERROR(__xludf.DUMMYFUNCTION("IMPORTRANGE(""https://docs.google.com/spreadsheets/d/1tdoBKaGub7dwA3U6UFTqxio9LNnvDCQjHKmttSEBsFQ/edit?usp=sharing"",""จัดที่ดิน!AE15"")"),1508.16)</f>
        <v>1508.16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IFERROR(__xludf.DUMMYFUNCTION("IMPORTRANGE(""https://docs.google.com/spreadsheets/d/1eHaY18a8A9IcSdp1K8H6x8fbOy06t2VsZHhMHf-1x7Y/edit?usp=sharing"",""แผน!EY15"")"),535)</f>
        <v>535</v>
      </c>
      <c r="J371" s="424">
        <f ca="1">IFERROR(__xludf.DUMMYFUNCTION("IMPORTRANGE(""https://docs.google.com/spreadsheets/d/1tdoBKaGub7dwA3U6UFTqxio9LNnvDCQjHKmttSEBsFQ/edit?usp=sharing"",""จัดที่ดิน!AF15"")"),126)</f>
        <v>126</v>
      </c>
      <c r="K371" s="425">
        <f ca="1">IF(I371&gt;0,J371*100/I371,0)</f>
        <v>23.55140186915888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IFERROR(__xludf.DUMMYFUNCTION("IMPORTRANGE(""https://docs.google.com/spreadsheets/d/1tdoBKaGub7dwA3U6UFTqxio9LNnvDCQjHKmttSEBsFQ/edit?usp=sharing"",""จัดที่ดิน!AG15"")"),1022.52)</f>
        <v>1022.52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IFERROR(__xludf.DUMMYFUNCTION("IMPORTRANGE(""https://docs.google.com/spreadsheets/d/1-uDff_7J0KD5mKrp0Vvzr7lt3OU09vwQwhkpOPPYv2Y/edit?usp=sharing"",""งบพรบ!FM15"")"),0)</f>
        <v>0</v>
      </c>
      <c r="M382" s="521">
        <f ca="1">IFERROR(__xludf.DUMMYFUNCTION("IMPORTRANGE(""https://docs.google.com/spreadsheets/d/1-uDff_7J0KD5mKrp0Vvzr7lt3OU09vwQwhkpOPPYv2Y/edit?usp=sharing"",""งบพรบ!FR15"")"),0)</f>
        <v>0</v>
      </c>
      <c r="N382" s="521">
        <f ca="1">IFERROR(__xludf.DUMMYFUNCTION("IMPORTRANGE(""https://docs.google.com/spreadsheets/d/1-uDff_7J0KD5mKrp0Vvzr7lt3OU09vwQwhkpOPPYv2Y/edit?usp=sharing"",""งบพรบ!FT15"")"),0)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IFERROR(__xludf.DUMMYFUNCTION("IMPORTRANGE(""https://docs.google.com/spreadsheets/d/1-uDff_7J0KD5mKrp0Vvzr7lt3OU09vwQwhkpOPPYv2Y/edit?usp=sharing"",""งบพรบ!FP15"")"),0)</f>
        <v>0</v>
      </c>
      <c r="M385" s="521">
        <f ca="1">IFERROR(__xludf.DUMMYFUNCTION("IMPORTRANGE(""https://docs.google.com/spreadsheets/d/1-uDff_7J0KD5mKrp0Vvzr7lt3OU09vwQwhkpOPPYv2Y/edit?usp=sharing"",""งบพรบ!FS15"")"),0)</f>
        <v>0</v>
      </c>
      <c r="N385" s="521">
        <f ca="1">IFERROR(__xludf.DUMMYFUNCTION("IMPORTRANGE(""https://docs.google.com/spreadsheets/d/1-uDff_7J0KD5mKrp0Vvzr7lt3OU09vwQwhkpOPPYv2Y/edit?usp=sharing"",""งบพรบ!FU15"")"),0)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138B-4C0D-4D21-9123-4F558CE76F44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42578125" bestFit="1" customWidth="1"/>
    <col min="12" max="14" width="21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163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2479995</v>
      </c>
      <c r="M18" s="704">
        <f ca="1">M19+M20</f>
        <v>2356905</v>
      </c>
      <c r="N18" s="704">
        <f ca="1">N19+N20</f>
        <v>1077402.8699999999</v>
      </c>
      <c r="O18" s="704">
        <f ca="1">IF(L18&gt;0,N18*100/L18,0)</f>
        <v>43.443751701112298</v>
      </c>
      <c r="P18" s="704">
        <f ca="1">IF(M18&gt;0,N18*100/M18,0)</f>
        <v>45.712613363712151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2479995</v>
      </c>
      <c r="M20" s="817">
        <f ca="1">M23+M26</f>
        <v>2356905</v>
      </c>
      <c r="N20" s="817">
        <f ca="1">N23+N26</f>
        <v>1077402.8699999999</v>
      </c>
      <c r="O20" s="817">
        <f ca="1">IF(L20&gt;0,N20*100/L20,0)</f>
        <v>43.443751701112298</v>
      </c>
      <c r="P20" s="817">
        <f ca="1">IF(M20&gt;0,N20*100/M20,0)</f>
        <v>45.712613363712151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2479995</v>
      </c>
      <c r="M21" s="425">
        <f ca="1">M22+M23</f>
        <v>2356905</v>
      </c>
      <c r="N21" s="425">
        <f ca="1">N22+N23</f>
        <v>1077402.8699999999</v>
      </c>
      <c r="O21" s="425">
        <f ca="1">IF(L21&gt;0,N21*100/L21,0)</f>
        <v>43.443751701112298</v>
      </c>
      <c r="P21" s="425">
        <f ca="1">IF(M21&gt;0,N21*100/M21,0)</f>
        <v>45.712613363712151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2479995</v>
      </c>
      <c r="M23" s="425">
        <f ca="1">M49+M64+M77+M99+M130+M144+M162+M191+M178+M271+M287+M308+M325+M338+M361+M382</f>
        <v>2356905</v>
      </c>
      <c r="N23" s="425">
        <f ca="1">N49+N64+N77+N99+N130+N144+N162+N191+N178+N271+N287+N308+N325+N338+N361+N382</f>
        <v>1077402.8699999999</v>
      </c>
      <c r="O23" s="425">
        <f ca="1">IF(L23&gt;0,N23*100/L23,0)</f>
        <v>43.443751701112298</v>
      </c>
      <c r="P23" s="425">
        <f ca="1">IF(M23&gt;0,N23*100/M23,0)</f>
        <v>45.712613363712151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2479995</v>
      </c>
      <c r="M40" s="809">
        <f ca="1">M44+M59+M72+M94+M125+M139+M157+M173+M186+M266+M282+M303+M320+M333+M356</f>
        <v>2356905</v>
      </c>
      <c r="N40" s="809">
        <f ca="1">N44+N59+N72+N94+N125+N139+N157+N173+N186+N266+N282+N303+N320+N333+N356</f>
        <v>1077402.8699999999</v>
      </c>
      <c r="O40" s="809">
        <f ca="1">IF(L40&gt;0,N40*100/L40,0)</f>
        <v>43.443751701112298</v>
      </c>
      <c r="P40" s="809">
        <f ca="1">IF(M40&gt;0,N40*100/M40,0)</f>
        <v>45.712613363712151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567650</v>
      </c>
      <c r="M44" s="794">
        <f ca="1">M45+M46</f>
        <v>569900</v>
      </c>
      <c r="N44" s="794">
        <f ca="1">N45+N46</f>
        <v>197994.86</v>
      </c>
      <c r="O44" s="794">
        <f ca="1">IF(L44&gt;0,N44*100/L44,0)</f>
        <v>34.879742799260107</v>
      </c>
      <c r="P44" s="794">
        <f ca="1">IF(M44&gt;0,N44*100/M44,0)</f>
        <v>34.742035444814881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567650</v>
      </c>
      <c r="M46" s="783">
        <f ca="1">M49+M52</f>
        <v>569900</v>
      </c>
      <c r="N46" s="783">
        <f ca="1">N49+N52</f>
        <v>197994.86</v>
      </c>
      <c r="O46" s="783">
        <f ca="1">IF(L46&gt;0,N46*100/L46,0)</f>
        <v>34.879742799260107</v>
      </c>
      <c r="P46" s="783">
        <f ca="1">IF(M46&gt;0,N46*100/M46,0)</f>
        <v>34.742035444814881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567650</v>
      </c>
      <c r="M47" s="425">
        <f ca="1">M48+M49</f>
        <v>569900</v>
      </c>
      <c r="N47" s="425">
        <f ca="1">N48+N49</f>
        <v>197994.86</v>
      </c>
      <c r="O47" s="425">
        <f ca="1">IF(L47&gt;0,N47*100/L47,0)</f>
        <v>34.879742799260107</v>
      </c>
      <c r="P47" s="425">
        <f ca="1">IF(M47&gt;0,N47*100/M47,0)</f>
        <v>34.742035444814881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IFERROR(__xludf.DUMMYFUNCTION("IMPORTRANGE(""https://docs.google.com/spreadsheets/d/1-uDff_7J0KD5mKrp0Vvzr7lt3OU09vwQwhkpOPPYv2Y/edit?usp=sharing"",""งบพรบ!P16"")"),567650)</f>
        <v>567650</v>
      </c>
      <c r="M49" s="425">
        <f ca="1">IFERROR(__xludf.DUMMYFUNCTION("IMPORTRANGE(""https://docs.google.com/spreadsheets/d/1-uDff_7J0KD5mKrp0Vvzr7lt3OU09vwQwhkpOPPYv2Y/edit?usp=sharing"",""งบพรบ!V16"")"),569900)</f>
        <v>569900</v>
      </c>
      <c r="N49" s="425">
        <f ca="1">IFERROR(__xludf.DUMMYFUNCTION("IMPORTRANGE(""https://docs.google.com/spreadsheets/d/1-uDff_7J0KD5mKrp0Vvzr7lt3OU09vwQwhkpOPPYv2Y/edit?usp=sharing"",""งบพรบ!Y16"")"),197994.86)</f>
        <v>197994.86</v>
      </c>
      <c r="O49" s="425">
        <f ca="1">IF(L49&gt;0,N49*100/L49,0)</f>
        <v>34.879742799260107</v>
      </c>
      <c r="P49" s="425">
        <f ca="1">IF(M49&gt;0,N49*100/M49,0)</f>
        <v>34.742035444814881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IFERROR(__xludf.DUMMYFUNCTION("IMPORTRANGE(""https://docs.google.com/spreadsheets/d/1-uDff_7J0KD5mKrp0Vvzr7lt3OU09vwQwhkpOPPYv2Y/edit?usp=sharing"",""งบพรบ!S16"")"),0)</f>
        <v>0</v>
      </c>
      <c r="M52" s="425">
        <f ca="1">IFERROR(__xludf.DUMMYFUNCTION("IMPORTRANGE(""https://docs.google.com/spreadsheets/d/1-uDff_7J0KD5mKrp0Vvzr7lt3OU09vwQwhkpOPPYv2Y/edit?usp=sharing"",""งบพรบ!W16"")"),0)</f>
        <v>0</v>
      </c>
      <c r="N52" s="425">
        <f ca="1">IFERROR(__xludf.DUMMYFUNCTION("IMPORTRANGE(""https://docs.google.com/spreadsheets/d/1-uDff_7J0KD5mKrp0Vvzr7lt3OU09vwQwhkpOPPYv2Y/edit?usp=sharing"",""งบพรบ!Z16"")"),0)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483100</v>
      </c>
      <c r="M59" s="763">
        <f ca="1">M60+M61</f>
        <v>424090</v>
      </c>
      <c r="N59" s="763">
        <f ca="1">N60+N61</f>
        <v>306964.03999999998</v>
      </c>
      <c r="O59" s="763">
        <f ca="1">IF(L59&gt;0,N59*100/L59,0)</f>
        <v>63.540476091906427</v>
      </c>
      <c r="P59" s="763">
        <f ca="1">IF(M59&gt;0,N59*100/M59,0)</f>
        <v>72.381815180739935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483100</v>
      </c>
      <c r="M61" s="752">
        <f ca="1">M64+M67</f>
        <v>424090</v>
      </c>
      <c r="N61" s="752">
        <f ca="1">N64+N67</f>
        <v>306964.03999999998</v>
      </c>
      <c r="O61" s="752">
        <f ca="1">IF(L61&gt;0,N61*100/L61,0)</f>
        <v>63.540476091906427</v>
      </c>
      <c r="P61" s="752">
        <f ca="1">IF(M61&gt;0,N61*100/M61,0)</f>
        <v>72.381815180739935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483100</v>
      </c>
      <c r="M62" s="425">
        <f ca="1">M63+M64</f>
        <v>424090</v>
      </c>
      <c r="N62" s="425">
        <f ca="1">N63+N64</f>
        <v>306964.03999999998</v>
      </c>
      <c r="O62" s="425">
        <f ca="1">IF(L62&gt;0,N62*100/L62,0)</f>
        <v>63.540476091906427</v>
      </c>
      <c r="P62" s="425">
        <f ca="1">IF(M62&gt;0,N62*100/M62,0)</f>
        <v>72.381815180739935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IFERROR(__xludf.DUMMYFUNCTION("IMPORTRANGE(""https://docs.google.com/spreadsheets/d/1-uDff_7J0KD5mKrp0Vvzr7lt3OU09vwQwhkpOPPYv2Y/edit?usp=sharing"",""งบพรบ!AC16"")"),483100)</f>
        <v>483100</v>
      </c>
      <c r="M64" s="425">
        <f ca="1">IFERROR(__xludf.DUMMYFUNCTION("IMPORTRANGE(""https://docs.google.com/spreadsheets/d/1-uDff_7J0KD5mKrp0Vvzr7lt3OU09vwQwhkpOPPYv2Y/edit?usp=sharing"",""งบพรบ!AH16"")"),424090)</f>
        <v>424090</v>
      </c>
      <c r="N64" s="425">
        <f ca="1">IFERROR(__xludf.DUMMYFUNCTION("IMPORTRANGE(""https://docs.google.com/spreadsheets/d/1-uDff_7J0KD5mKrp0Vvzr7lt3OU09vwQwhkpOPPYv2Y/edit?usp=sharing"",""งบพรบ!AJ16"")"),306964.04)</f>
        <v>306964.03999999998</v>
      </c>
      <c r="O64" s="425">
        <f ca="1">IF(L64&gt;0,N64*100/L64,0)</f>
        <v>63.540476091906427</v>
      </c>
      <c r="P64" s="425">
        <f ca="1">IF(M64&gt;0,N64*100/M64,0)</f>
        <v>72.381815180739935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IFERROR(__xludf.DUMMYFUNCTION("IMPORTRANGE(""https://docs.google.com/spreadsheets/d/1-uDff_7J0KD5mKrp0Vvzr7lt3OU09vwQwhkpOPPYv2Y/edit?usp=sharing"",""งบพรบ!AF16"")"),0)</f>
        <v>0</v>
      </c>
      <c r="M67" s="747">
        <f ca="1">IFERROR(__xludf.DUMMYFUNCTION("IMPORTRANGE(""https://docs.google.com/spreadsheets/d/1-uDff_7J0KD5mKrp0Vvzr7lt3OU09vwQwhkpOPPYv2Y/edit?usp=sharing"",""งบพรบ!AI16"")"),0)</f>
        <v>0</v>
      </c>
      <c r="N67" s="747">
        <f ca="1">IFERROR(__xludf.DUMMYFUNCTION("IMPORTRANGE(""https://docs.google.com/spreadsheets/d/1-uDff_7J0KD5mKrp0Vvzr7lt3OU09vwQwhkpOPPYv2Y/edit?usp=sharing"",""งบพรบ!AK16"")"),0)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80000</v>
      </c>
      <c r="N72" s="577">
        <f ca="1">N73+N74</f>
        <v>61403.95</v>
      </c>
      <c r="O72" s="577">
        <f ca="1">IF(L72&gt;0,N72*100/L72,0)</f>
        <v>0</v>
      </c>
      <c r="P72" s="577">
        <f ca="1">IF(M72&gt;0,N72*100/M72,0)</f>
        <v>76.754937499999997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80000</v>
      </c>
      <c r="N74" s="425">
        <f ca="1">N77+N80</f>
        <v>61403.95</v>
      </c>
      <c r="O74" s="425">
        <f ca="1">IF(L74&gt;0,N74*100/L74,0)</f>
        <v>0</v>
      </c>
      <c r="P74" s="425">
        <f ca="1">IF(M74&gt;0,N74*100/M74,0)</f>
        <v>76.754937499999997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80000</v>
      </c>
      <c r="N75" s="425">
        <f ca="1">N76+N77</f>
        <v>61403.95</v>
      </c>
      <c r="O75" s="425">
        <f ca="1">IF(L75&gt;0,N75*100/L75,0)</f>
        <v>0</v>
      </c>
      <c r="P75" s="425">
        <f ca="1">IF(M75&gt;0,N75*100/M75,0)</f>
        <v>76.754937499999997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IFERROR(__xludf.DUMMYFUNCTION("IMPORTRANGE(""https://docs.google.com/spreadsheets/d/1-uDff_7J0KD5mKrp0Vvzr7lt3OU09vwQwhkpOPPYv2Y/edit?usp=sharing"",""งบพรบ!AM16"")"),0)</f>
        <v>0</v>
      </c>
      <c r="M77" s="425">
        <f ca="1">IFERROR(__xludf.DUMMYFUNCTION("IMPORTRANGE(""https://docs.google.com/spreadsheets/d/1-uDff_7J0KD5mKrp0Vvzr7lt3OU09vwQwhkpOPPYv2Y/edit?usp=sharing"",""งบพรบ!AR16"")"),80000)</f>
        <v>80000</v>
      </c>
      <c r="N77" s="425">
        <f ca="1">IFERROR(__xludf.DUMMYFUNCTION("IMPORTRANGE(""https://docs.google.com/spreadsheets/d/1-uDff_7J0KD5mKrp0Vvzr7lt3OU09vwQwhkpOPPYv2Y/edit?usp=sharing"",""งบพรบ!AT16"")"),61403.95)</f>
        <v>61403.95</v>
      </c>
      <c r="O77" s="425">
        <f ca="1">IF(L77&gt;0,N77*100/L77,0)</f>
        <v>0</v>
      </c>
      <c r="P77" s="425">
        <f ca="1">IF(M77&gt;0,N77*100/M77,0)</f>
        <v>76.754937499999997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IFERROR(__xludf.DUMMYFUNCTION("IMPORTRANGE(""https://docs.google.com/spreadsheets/d/1-uDff_7J0KD5mKrp0Vvzr7lt3OU09vwQwhkpOPPYv2Y/edit?usp=sharing"",""งบพรบ!AP16"")"),0)</f>
        <v>0</v>
      </c>
      <c r="M80" s="425">
        <f ca="1">IFERROR(__xludf.DUMMYFUNCTION("IMPORTRANGE(""https://docs.google.com/spreadsheets/d/1-uDff_7J0KD5mKrp0Vvzr7lt3OU09vwQwhkpOPPYv2Y/edit?usp=sharing"",""งบพรบ!AS16"")"),0)</f>
        <v>0</v>
      </c>
      <c r="N80" s="425">
        <f ca="1">IFERROR(__xludf.DUMMYFUNCTION("IMPORTRANGE(""https://docs.google.com/spreadsheets/d/1-uDff_7J0KD5mKrp0Vvzr7lt3OU09vwQwhkpOPPYv2Y/edit?usp=sharing"",""งบพรบ!AU16"")"),0)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IFERROR(__xludf.DUMMYFUNCTION("IMPORTRANGE(""https://docs.google.com/spreadsheets/d/1eHaY18a8A9IcSdp1K8H6x8fbOy06t2VsZHhMHf-1x7Y/edit?usp=sharing"",""แผน!H16"")"),0)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IFERROR(__xludf.DUMMYFUNCTION("IMPORTRANGE(""https://docs.google.com/spreadsheets/d/1eHaY18a8A9IcSdp1K8H6x8fbOy06t2VsZHhMHf-1x7Y/edit?usp=sharing"",""แผน!I16"")"),0)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IFERROR(__xludf.DUMMYFUNCTION("IMPORTRANGE(""https://docs.google.com/spreadsheets/d/1eHaY18a8A9IcSdp1K8H6x8fbOy06t2VsZHhMHf-1x7Y/edit?usp=sharing"",""แผน!F16"")"),0)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IFERROR(__xludf.DUMMYFUNCTION("IMPORTRANGE(""https://docs.google.com/spreadsheets/d/1eHaY18a8A9IcSdp1K8H6x8fbOy06t2VsZHhMHf-1x7Y/edit?usp=sharing"",""แผน!G16"")"),0)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IFERROR(__xludf.DUMMYFUNCTION("IMPORTRANGE(""https://docs.google.com/spreadsheets/d/1eHaY18a8A9IcSdp1K8H6x8fbOy06t2VsZHhMHf-1x7Y/edit?usp=sharing"",""แผน!D16"")"),0)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IFERROR(__xludf.DUMMYFUNCTION("IMPORTRANGE(""https://docs.google.com/spreadsheets/d/1eHaY18a8A9IcSdp1K8H6x8fbOy06t2VsZHhMHf-1x7Y/edit?usp=sharing"",""แผน!E16"")"),0)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IFERROR(__xludf.DUMMYFUNCTION("IMPORTRANGE(""https://docs.google.com/spreadsheets/d/1eHaY18a8A9IcSdp1K8H6x8fbOy06t2VsZHhMHf-1x7Y/edit?usp=sharing"",""แผน!J16"")"),0)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IFERROR(__xludf.DUMMYFUNCTION("IMPORTRANGE(""https://docs.google.com/spreadsheets/d/1-uDff_7J0KD5mKrp0Vvzr7lt3OU09vwQwhkpOPPYv2Y/edit?usp=sharing"",""งบพรบ!AW16"")"),0)</f>
        <v>0</v>
      </c>
      <c r="M99" s="425">
        <f ca="1">IFERROR(__xludf.DUMMYFUNCTION("IMPORTRANGE(""https://docs.google.com/spreadsheets/d/1-uDff_7J0KD5mKrp0Vvzr7lt3OU09vwQwhkpOPPYv2Y/edit?usp=sharing"",""งบพรบ!BB16"")"),0)</f>
        <v>0</v>
      </c>
      <c r="N99" s="425">
        <f ca="1">IFERROR(__xludf.DUMMYFUNCTION("IMPORTRANGE(""https://docs.google.com/spreadsheets/d/1-uDff_7J0KD5mKrp0Vvzr7lt3OU09vwQwhkpOPPYv2Y/edit?usp=sharing"",""งบพรบ!BD16"")"),0)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IFERROR(__xludf.DUMMYFUNCTION("IMPORTRANGE(""https://docs.google.com/spreadsheets/d/1-uDff_7J0KD5mKrp0Vvzr7lt3OU09vwQwhkpOPPYv2Y/edit?usp=sharing"",""งบพรบ!AZ16"")"),0)</f>
        <v>0</v>
      </c>
      <c r="M102" s="425">
        <f ca="1">IFERROR(__xludf.DUMMYFUNCTION("IMPORTRANGE(""https://docs.google.com/spreadsheets/d/1-uDff_7J0KD5mKrp0Vvzr7lt3OU09vwQwhkpOPPYv2Y/edit?usp=sharing"",""งบพรบ!BC16"")"),0)</f>
        <v>0</v>
      </c>
      <c r="N102" s="425">
        <f ca="1">IFERROR(__xludf.DUMMYFUNCTION("IMPORTRANGE(""https://docs.google.com/spreadsheets/d/1-uDff_7J0KD5mKrp0Vvzr7lt3OU09vwQwhkpOPPYv2Y/edit?usp=sharing"",""งบพรบ!BE16"")"),0)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IFERROR(__xludf.DUMMYFUNCTION("IMPORTRANGE(""https://docs.google.com/spreadsheets/d/1eHaY18a8A9IcSdp1K8H6x8fbOy06t2VsZHhMHf-1x7Y/edit?usp=sharing"",""แผน!N16"")"),0)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IFERROR(__xludf.DUMMYFUNCTION("IMPORTRANGE(""https://docs.google.com/spreadsheets/d/1eHaY18a8A9IcSdp1K8H6x8fbOy06t2VsZHhMHf-1x7Y/edit?usp=sharing"",""แผน!O16"")"),0)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IFERROR(__xludf.DUMMYFUNCTION("IMPORTRANGE(""https://docs.google.com/spreadsheets/d/1eHaY18a8A9IcSdp1K8H6x8fbOy06t2VsZHhMHf-1x7Y/edit?usp=sharing"",""แผน!R16"")"),0)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IFERROR(__xludf.DUMMYFUNCTION("IMPORTRANGE(""https://docs.google.com/spreadsheets/d/1-uDff_7J0KD5mKrp0Vvzr7lt3OU09vwQwhkpOPPYv2Y/edit?usp=sharing"",""งบพรบ!BG16"")"),0)</f>
        <v>0</v>
      </c>
      <c r="M130" s="723">
        <f ca="1">IFERROR(__xludf.DUMMYFUNCTION("IMPORTRANGE(""https://docs.google.com/spreadsheets/d/1-uDff_7J0KD5mKrp0Vvzr7lt3OU09vwQwhkpOPPYv2Y/edit?usp=sharing"",""งบพรบ!BL16"")"),0)</f>
        <v>0</v>
      </c>
      <c r="N130" s="723">
        <f ca="1">IFERROR(__xludf.DUMMYFUNCTION("IMPORTRANGE(""https://docs.google.com/spreadsheets/d/1-uDff_7J0KD5mKrp0Vvzr7lt3OU09vwQwhkpOPPYv2Y/edit?usp=sharing"",""งบพรบ!BN16"")"),0)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IFERROR(__xludf.DUMMYFUNCTION("IMPORTRANGE(""https://docs.google.com/spreadsheets/d/1-uDff_7J0KD5mKrp0Vvzr7lt3OU09vwQwhkpOPPYv2Y/edit?usp=sharing"",""งบพรบ!BJ16"")"),0)</f>
        <v>0</v>
      </c>
      <c r="M133" s="723">
        <f ca="1">IFERROR(__xludf.DUMMYFUNCTION("IMPORTRANGE(""https://docs.google.com/spreadsheets/d/1-uDff_7J0KD5mKrp0Vvzr7lt3OU09vwQwhkpOPPYv2Y/edit?usp=sharing"",""งบพรบ!BM16"")"),0)</f>
        <v>0</v>
      </c>
      <c r="N133" s="723">
        <f ca="1">IFERROR(__xludf.DUMMYFUNCTION("IMPORTRANGE(""https://docs.google.com/spreadsheets/d/1-uDff_7J0KD5mKrp0Vvzr7lt3OU09vwQwhkpOPPYv2Y/edit?usp=sharing"",""งบพรบ!BO16"")"),0)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1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20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2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137700</v>
      </c>
      <c r="M139" s="577">
        <f ca="1">M140+M141</f>
        <v>107900</v>
      </c>
      <c r="N139" s="577">
        <f ca="1">N140+N141</f>
        <v>63000</v>
      </c>
      <c r="O139" s="577">
        <f ca="1">IF(L139&gt;0,N139*100/L139,0)</f>
        <v>45.751633986928105</v>
      </c>
      <c r="P139" s="577">
        <f ca="1">IF(M139&gt;0,N139*100/M139,0)</f>
        <v>58.38739573679333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137700</v>
      </c>
      <c r="M141" s="425">
        <f ca="1">M144+M147</f>
        <v>107900</v>
      </c>
      <c r="N141" s="425">
        <f ca="1">N144+N147</f>
        <v>63000</v>
      </c>
      <c r="O141" s="425">
        <f ca="1">IF(L141&gt;0,N141*100/L141,0)</f>
        <v>45.751633986928105</v>
      </c>
      <c r="P141" s="425">
        <f ca="1">IF(M141&gt;0,N141*100/M141,0)</f>
        <v>58.38739573679333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137700</v>
      </c>
      <c r="M142" s="425">
        <f ca="1">M143+M144</f>
        <v>107900</v>
      </c>
      <c r="N142" s="425">
        <f ca="1">N143+N144</f>
        <v>63000</v>
      </c>
      <c r="O142" s="425">
        <f ca="1">IF(L142&gt;0,N142*100/L142,0)</f>
        <v>45.751633986928105</v>
      </c>
      <c r="P142" s="425">
        <f ca="1">IF(M142&gt;0,N142*100/M142,0)</f>
        <v>58.38739573679333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IFERROR(__xludf.DUMMYFUNCTION("IMPORTRANGE(""https://docs.google.com/spreadsheets/d/1-uDff_7J0KD5mKrp0Vvzr7lt3OU09vwQwhkpOPPYv2Y/edit?usp=sharing"",""งบพรบ!BQ16"")"),137700)</f>
        <v>137700</v>
      </c>
      <c r="M144" s="425">
        <f ca="1">IFERROR(__xludf.DUMMYFUNCTION("IMPORTRANGE(""https://docs.google.com/spreadsheets/d/1-uDff_7J0KD5mKrp0Vvzr7lt3OU09vwQwhkpOPPYv2Y/edit?usp=sharing"",""งบพรบ!BV16"")"),107900)</f>
        <v>107900</v>
      </c>
      <c r="N144" s="425">
        <f ca="1">IFERROR(__xludf.DUMMYFUNCTION("IMPORTRANGE(""https://docs.google.com/spreadsheets/d/1-uDff_7J0KD5mKrp0Vvzr7lt3OU09vwQwhkpOPPYv2Y/edit?usp=sharing"",""งบพรบ!BX16"")"),63000)</f>
        <v>63000</v>
      </c>
      <c r="O144" s="425">
        <f ca="1">IF(L144&gt;0,N144*100/L144,0)</f>
        <v>45.751633986928105</v>
      </c>
      <c r="P144" s="425">
        <f ca="1">IF(M144&gt;0,N144*100/M144,0)</f>
        <v>58.38739573679333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IFERROR(__xludf.DUMMYFUNCTION("IMPORTRANGE(""https://docs.google.com/spreadsheets/d/1-uDff_7J0KD5mKrp0Vvzr7lt3OU09vwQwhkpOPPYv2Y/edit?usp=sharing"",""งบพรบ!BT16"")"),0)</f>
        <v>0</v>
      </c>
      <c r="M147" s="425">
        <f ca="1">IFERROR(__xludf.DUMMYFUNCTION("IMPORTRANGE(""https://docs.google.com/spreadsheets/d/1-uDff_7J0KD5mKrp0Vvzr7lt3OU09vwQwhkpOPPYv2Y/edit?usp=sharing"",""งบพรบ!BW16"")"),0)</f>
        <v>0</v>
      </c>
      <c r="N147" s="425">
        <f ca="1">IFERROR(__xludf.DUMMYFUNCTION("IMPORTRANGE(""https://docs.google.com/spreadsheets/d/1-uDff_7J0KD5mKrp0Vvzr7lt3OU09vwQwhkpOPPYv2Y/edit?usp=sharing"",""งบพรบ!BY16"")"),0)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IFERROR(__xludf.DUMMYFUNCTION("IMPORTRANGE(""https://docs.google.com/spreadsheets/d/1eHaY18a8A9IcSdp1K8H6x8fbOy06t2VsZHhMHf-1x7Y/edit?usp=sharing"",""แผน!U16"")"),10)</f>
        <v>10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IFERROR(__xludf.DUMMYFUNCTION("IMPORTRANGE(""https://docs.google.com/spreadsheets/d/1eHaY18a8A9IcSdp1K8H6x8fbOy06t2VsZHhMHf-1x7Y/edit?usp=sharing"",""แผน!V16"")"),1)</f>
        <v>1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IFERROR(__xludf.DUMMYFUNCTION("IMPORTRANGE(""https://docs.google.com/spreadsheets/d/1eHaY18a8A9IcSdp1K8H6x8fbOy06t2VsZHhMHf-1x7Y/edit?usp=sharing"",""แผน!W16"")"),20)</f>
        <v>20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IFERROR(__xludf.DUMMYFUNCTION("IMPORTRANGE(""https://docs.google.com/spreadsheets/d/1eHaY18a8A9IcSdp1K8H6x8fbOy06t2VsZHhMHf-1x7Y/edit?usp=sharing"",""แผน!X16"")"),2)</f>
        <v>2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IFERROR(__xludf.DUMMYFUNCTION("IMPORTRANGE(""https://docs.google.com/spreadsheets/d/1eHaY18a8A9IcSdp1K8H6x8fbOy06t2VsZHhMHf-1x7Y/edit?usp=sharing"",""แผน!Y16"")"),1)</f>
        <v>1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IFERROR(__xludf.DUMMYFUNCTION("IMPORTRANGE(""https://docs.google.com/spreadsheets/d/1-uDff_7J0KD5mKrp0Vvzr7lt3OU09vwQwhkpOPPYv2Y/edit?usp=sharing"",""งบพรบ!CA16"")"),0)</f>
        <v>0</v>
      </c>
      <c r="M162" s="425">
        <f ca="1">IFERROR(__xludf.DUMMYFUNCTION("IMPORTRANGE(""https://docs.google.com/spreadsheets/d/1-uDff_7J0KD5mKrp0Vvzr7lt3OU09vwQwhkpOPPYv2Y/edit?usp=sharing"",""งบพรบ!CF16"")"),0)</f>
        <v>0</v>
      </c>
      <c r="N162" s="425">
        <f ca="1">IFERROR(__xludf.DUMMYFUNCTION("IMPORTRANGE(""https://docs.google.com/spreadsheets/d/1-uDff_7J0KD5mKrp0Vvzr7lt3OU09vwQwhkpOPPYv2Y/edit?usp=sharing"",""งบพรบ!CH16"")"),0)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IFERROR(__xludf.DUMMYFUNCTION("IMPORTRANGE(""https://docs.google.com/spreadsheets/d/1-uDff_7J0KD5mKrp0Vvzr7lt3OU09vwQwhkpOPPYv2Y/edit?usp=sharing"",""งบพรบ!CD16"")"),0)</f>
        <v>0</v>
      </c>
      <c r="M165" s="425">
        <f ca="1">IFERROR(__xludf.DUMMYFUNCTION("IMPORTRANGE(""https://docs.google.com/spreadsheets/d/1-uDff_7J0KD5mKrp0Vvzr7lt3OU09vwQwhkpOPPYv2Y/edit?usp=sharing"",""งบพรบ!CG16"")"),0)</f>
        <v>0</v>
      </c>
      <c r="N165" s="425">
        <f ca="1">IFERROR(__xludf.DUMMYFUNCTION("IMPORTRANGE(""https://docs.google.com/spreadsheets/d/1-uDff_7J0KD5mKrp0Vvzr7lt3OU09vwQwhkpOPPYv2Y/edit?usp=sharing"",""งบพรบ!CI16"")"),0)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IFERROR(__xludf.DUMMYFUNCTION("IMPORTRANGE(""https://docs.google.com/spreadsheets/d/1eHaY18a8A9IcSdp1K8H6x8fbOy06t2VsZHhMHf-1x7Y/edit?usp=sharing"",""แผน!Z16"")"),0)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IFERROR(__xludf.DUMMYFUNCTION("IMPORTRANGE(""https://docs.google.com/spreadsheets/d/1eHaY18a8A9IcSdp1K8H6x8fbOy06t2VsZHhMHf-1x7Y/edit?usp=sharing"",""แผน!Z16"")"),0)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IFERROR(__xludf.DUMMYFUNCTION("IMPORTRANGE(""https://docs.google.com/spreadsheets/d/1eHaY18a8A9IcSdp1K8H6x8fbOy06t2VsZHhMHf-1x7Y/edit?usp=sharing"",""แผน!Z16"")"),0)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149630</v>
      </c>
      <c r="N173" s="577">
        <f ca="1">N174+N175</f>
        <v>147120</v>
      </c>
      <c r="O173" s="577">
        <f ca="1">IF(L173&gt;0,N173*100/L173,0)</f>
        <v>750.99540581929557</v>
      </c>
      <c r="P173" s="577">
        <f ca="1">IF(M173&gt;0,N173*100/M173,0)</f>
        <v>98.322528904631426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149630</v>
      </c>
      <c r="N175" s="425">
        <f ca="1">N178+N181</f>
        <v>147120</v>
      </c>
      <c r="O175" s="425">
        <f ca="1">IF(L175&gt;0,N175*100/L175,0)</f>
        <v>750.99540581929557</v>
      </c>
      <c r="P175" s="425">
        <f ca="1">IF(M175&gt;0,N175*100/M175,0)</f>
        <v>98.322528904631426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149630</v>
      </c>
      <c r="N176" s="425">
        <f ca="1">N177+N178</f>
        <v>147120</v>
      </c>
      <c r="O176" s="425">
        <f ca="1">IF(L176&gt;0,N176*100/L176,0)</f>
        <v>750.99540581929557</v>
      </c>
      <c r="P176" s="425">
        <f ca="1">IF(M176&gt;0,N176*100/M176,0)</f>
        <v>98.322528904631426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IFERROR(__xludf.DUMMYFUNCTION("IMPORTRANGE(""https://docs.google.com/spreadsheets/d/1-uDff_7J0KD5mKrp0Vvzr7lt3OU09vwQwhkpOPPYv2Y/edit?usp=sharing"",""งบพรบ!CK16"")"),19590)</f>
        <v>19590</v>
      </c>
      <c r="M178" s="425">
        <f ca="1">IFERROR(__xludf.DUMMYFUNCTION("IMPORTRANGE(""https://docs.google.com/spreadsheets/d/1-uDff_7J0KD5mKrp0Vvzr7lt3OU09vwQwhkpOPPYv2Y/edit?usp=sharing"",""งบพรบ!CP16"")"),149630)</f>
        <v>149630</v>
      </c>
      <c r="N178" s="425">
        <f ca="1">IFERROR(__xludf.DUMMYFUNCTION("IMPORTRANGE(""https://docs.google.com/spreadsheets/d/1-uDff_7J0KD5mKrp0Vvzr7lt3OU09vwQwhkpOPPYv2Y/edit?usp=sharing"",""งบพรบ!CR16"")"),147120)</f>
        <v>147120</v>
      </c>
      <c r="O178" s="425">
        <f ca="1">IF(L178&gt;0,N178*100/L178,0)</f>
        <v>750.99540581929557</v>
      </c>
      <c r="P178" s="425">
        <f ca="1">IF(M178&gt;0,N178*100/M178,0)</f>
        <v>98.322528904631426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IFERROR(__xludf.DUMMYFUNCTION("IMPORTRANGE(""https://docs.google.com/spreadsheets/d/1-uDff_7J0KD5mKrp0Vvzr7lt3OU09vwQwhkpOPPYv2Y/edit?usp=sharing"",""งบพรบ!CN16"")"),0)</f>
        <v>0</v>
      </c>
      <c r="M181" s="425">
        <f ca="1">IFERROR(__xludf.DUMMYFUNCTION("IMPORTRANGE(""https://docs.google.com/spreadsheets/d/1-uDff_7J0KD5mKrp0Vvzr7lt3OU09vwQwhkpOPPYv2Y/edit?usp=sharing"",""งบพรบ!CQ16"")"),0)</f>
        <v>0</v>
      </c>
      <c r="N181" s="425">
        <f ca="1">IFERROR(__xludf.DUMMYFUNCTION("IMPORTRANGE(""https://docs.google.com/spreadsheets/d/1-uDff_7J0KD5mKrp0Vvzr7lt3OU09vwQwhkpOPPYv2Y/edit?usp=sharing"",""งบพรบ!CS16"")"),0)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IFERROR(__xludf.DUMMYFUNCTION("IMPORTRANGE(""https://docs.google.com/spreadsheets/d/1eHaY18a8A9IcSdp1K8H6x8fbOy06t2VsZHhMHf-1x7Y/edit?usp=sharing"",""แผน!AA16"")"),7)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60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509400</v>
      </c>
      <c r="M186" s="577">
        <f ca="1">M187+M188</f>
        <v>410000</v>
      </c>
      <c r="N186" s="577">
        <f ca="1">N187+N188</f>
        <v>83000</v>
      </c>
      <c r="O186" s="577">
        <f ca="1">IF(L186&gt;0,N186*100/L186,0)</f>
        <v>16.29367883784845</v>
      </c>
      <c r="P186" s="577">
        <f ca="1">IF(M186&gt;0,N186*100/M186,0)</f>
        <v>20.243902439024389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509400</v>
      </c>
      <c r="M188" s="425">
        <f ca="1">M191+M194</f>
        <v>410000</v>
      </c>
      <c r="N188" s="425">
        <f ca="1">N191+N194</f>
        <v>83000</v>
      </c>
      <c r="O188" s="425">
        <f ca="1">IF(L188&gt;0,N188*100/L188,0)</f>
        <v>16.29367883784845</v>
      </c>
      <c r="P188" s="425">
        <f ca="1">IF(M188&gt;0,N188*100/M188,0)</f>
        <v>20.243902439024389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509400</v>
      </c>
      <c r="M189" s="425">
        <f ca="1">M190+M191</f>
        <v>410000</v>
      </c>
      <c r="N189" s="425">
        <f ca="1">N190+N191</f>
        <v>83000</v>
      </c>
      <c r="O189" s="425">
        <f ca="1">IF(L189&gt;0,N189*100/L189,0)</f>
        <v>16.29367883784845</v>
      </c>
      <c r="P189" s="425">
        <f ca="1">IF(M189&gt;0,N189*100/M189,0)</f>
        <v>20.243902439024389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IFERROR(__xludf.DUMMYFUNCTION("IMPORTRANGE(""https://docs.google.com/spreadsheets/d/1-uDff_7J0KD5mKrp0Vvzr7lt3OU09vwQwhkpOPPYv2Y/edit?usp=sharing"",""งบพรบ!CU16"")"),509400)</f>
        <v>509400</v>
      </c>
      <c r="M191" s="425">
        <f ca="1">IFERROR(__xludf.DUMMYFUNCTION("IMPORTRANGE(""https://docs.google.com/spreadsheets/d/1-uDff_7J0KD5mKrp0Vvzr7lt3OU09vwQwhkpOPPYv2Y/edit?usp=sharing"",""งบพรบ!CZ16"")"),410000)</f>
        <v>410000</v>
      </c>
      <c r="N191" s="425">
        <f ca="1">IFERROR(__xludf.DUMMYFUNCTION("IMPORTRANGE(""https://docs.google.com/spreadsheets/d/1-uDff_7J0KD5mKrp0Vvzr7lt3OU09vwQwhkpOPPYv2Y/edit?usp=sharing"",""งบพรบ!DB16"")"),83000)</f>
        <v>83000</v>
      </c>
      <c r="O191" s="425">
        <f ca="1">IF(L191&gt;0,N191*100/L191,0)</f>
        <v>16.29367883784845</v>
      </c>
      <c r="P191" s="425">
        <f ca="1">IF(M191&gt;0,N191*100/M191,0)</f>
        <v>20.243902439024389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IFERROR(__xludf.DUMMYFUNCTION("IMPORTRANGE(""https://docs.google.com/spreadsheets/d/1-uDff_7J0KD5mKrp0Vvzr7lt3OU09vwQwhkpOPPYv2Y/edit?usp=sharing"",""งบพรบ!CX16"")"),0)</f>
        <v>0</v>
      </c>
      <c r="M194" s="425">
        <f ca="1">IFERROR(__xludf.DUMMYFUNCTION("IMPORTRANGE(""https://docs.google.com/spreadsheets/d/1-uDff_7J0KD5mKrp0Vvzr7lt3OU09vwQwhkpOPPYv2Y/edit?usp=sharing"",""งบพรบ!DA16"")"),0)</f>
        <v>0</v>
      </c>
      <c r="N194" s="425">
        <f ca="1">IFERROR(__xludf.DUMMYFUNCTION("IMPORTRANGE(""https://docs.google.com/spreadsheets/d/1-uDff_7J0KD5mKrp0Vvzr7lt3OU09vwQwhkpOPPYv2Y/edit?usp=sharing"",""งบพรบ!DC16"")"),0)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IFERROR(__xludf.DUMMYFUNCTION("IMPORTRANGE(""https://docs.google.com/spreadsheets/d/1eHaY18a8A9IcSdp1K8H6x8fbOy06t2VsZHhMHf-1x7Y/edit?usp=sharing"",""แผน!AB16"")"),6000)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IFERROR(__xludf.DUMMYFUNCTION("IMPORTRANGE(""https://docs.google.com/spreadsheets/d/1eHaY18a8A9IcSdp1K8H6x8fbOy06t2VsZHhMHf-1x7Y/edit?usp=sharing"",""แผน!AE16"")"),4)</f>
        <v>4</v>
      </c>
      <c r="J198" s="595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IFERROR(__xludf.DUMMYFUNCTION("IMPORTRANGE(""https://docs.google.com/spreadsheets/d/1eHaY18a8A9IcSdp1K8H6x8fbOy06t2VsZHhMHf-1x7Y/edit?usp=sharing"",""แผน!AG16"")"),2000)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IFERROR(__xludf.DUMMYFUNCTION("IMPORTRANGE(""https://docs.google.com/spreadsheets/d/1eHaY18a8A9IcSdp1K8H6x8fbOy06t2VsZHhMHf-1x7Y/edit?usp=sharing"",""แผน!AH16"")"),0)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IFERROR(__xludf.DUMMYFUNCTION("IMPORTRANGE(""https://docs.google.com/spreadsheets/d/1eHaY18a8A9IcSdp1K8H6x8fbOy06t2VsZHhMHf-1x7Y/edit?usp=sharing"",""แผน!AI16"")"),16000)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IFERROR(__xludf.DUMMYFUNCTION("IMPORTRANGE(""https://docs.google.com/spreadsheets/d/1eHaY18a8A9IcSdp1K8H6x8fbOy06t2VsZHhMHf-1x7Y/edit?usp=sharing"",""แผน!AJ16"")"),8000)</f>
        <v>8000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IFERROR(__xludf.DUMMYFUNCTION("IMPORTRANGE(""https://docs.google.com/spreadsheets/d/1eHaY18a8A9IcSdp1K8H6x8fbOy06t2VsZHhMHf-1x7Y/edit?usp=sharing"",""แผน!AK16"")"),2)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IFERROR(__xludf.DUMMYFUNCTION("IMPORTRANGE(""https://docs.google.com/spreadsheets/d/1eHaY18a8A9IcSdp1K8H6x8fbOy06t2VsZHhMHf-1x7Y/edit?usp=sharing"",""แผน!JX16"")"),2)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IFERROR(__xludf.DUMMYFUNCTION("IMPORTRANGE(""https://docs.google.com/spreadsheets/d/1eHaY18a8A9IcSdp1K8H6x8fbOy06t2VsZHhMHf-1x7Y/edit?usp=sharing"",""แผน!JY16"")"),0)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1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14000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IFERROR(__xludf.DUMMYFUNCTION("IMPORTRANGE(""https://docs.google.com/spreadsheets/d/1eHaY18a8A9IcSdp1K8H6x8fbOy06t2VsZHhMHf-1x7Y/edit?usp=sharing"",""แผน!AM16"")"),1000)</f>
        <v>1000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IFERROR(__xludf.DUMMYFUNCTION("IMPORTRANGE(""https://docs.google.com/spreadsheets/d/1eHaY18a8A9IcSdp1K8H6x8fbOy06t2VsZHhMHf-1x7Y/edit?usp=sharing"",""แผน!AN16"")"),5000)</f>
        <v>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IFERROR(__xludf.DUMMYFUNCTION("IMPORTRANGE(""https://docs.google.com/spreadsheets/d/1eHaY18a8A9IcSdp1K8H6x8fbOy06t2VsZHhMHf-1x7Y/edit?usp=sharing"",""แผน!AO16"")"),8000)</f>
        <v>8000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IFERROR(__xludf.DUMMYFUNCTION("IMPORTRANGE(""https://docs.google.com/spreadsheets/d/1eHaY18a8A9IcSdp1K8H6x8fbOy06t2VsZHhMHf-1x7Y/edit?usp=sharing"",""แผน!AP16"")"),1)</f>
        <v>1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IFERROR(__xludf.DUMMYFUNCTION("IMPORTRANGE(""https://docs.google.com/spreadsheets/d/1eHaY18a8A9IcSdp1K8H6x8fbOy06t2VsZHhMHf-1x7Y/edit?usp=sharing"",""แผน!AP16"")"),1)</f>
        <v>1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16000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4500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IFERROR(__xludf.DUMMYFUNCTION("IMPORTRANGE(""https://docs.google.com/spreadsheets/d/1eHaY18a8A9IcSdp1K8H6x8fbOy06t2VsZHhMHf-1x7Y/edit?usp=sharing"",""แผน!AR16"")"),3000)</f>
        <v>3000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IFERROR(__xludf.DUMMYFUNCTION("IMPORTRANGE(""https://docs.google.com/spreadsheets/d/1eHaY18a8A9IcSdp1K8H6x8fbOy06t2VsZHhMHf-1x7Y/edit?usp=sharing"",""แผน!AS16"")"),1500)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IFERROR(__xludf.DUMMYFUNCTION("IMPORTRANGE(""https://docs.google.com/spreadsheets/d/1eHaY18a8A9IcSdp1K8H6x8fbOy06t2VsZHhMHf-1x7Y/edit?usp=sharing"",""แผน!AT16"")"),0)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IFERROR(__xludf.DUMMYFUNCTION("IMPORTRANGE(""https://docs.google.com/spreadsheets/d/1eHaY18a8A9IcSdp1K8H6x8fbOy06t2VsZHhMHf-1x7Y/edit?usp=sharing"",""แผน!AV16"")"),16000)</f>
        <v>16000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IFERROR(__xludf.DUMMYFUNCTION("IMPORTRANGE(""https://docs.google.com/spreadsheets/d/1eHaY18a8A9IcSdp1K8H6x8fbOy06t2VsZHhMHf-1x7Y/edit?usp=sharing"",""แผน!AV16"")"),16000)</f>
        <v>16000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IFERROR(__xludf.DUMMYFUNCTION("IMPORTRANGE(""https://docs.google.com/spreadsheets/d/1eHaY18a8A9IcSdp1K8H6x8fbOy06t2VsZHhMHf-1x7Y/edit?usp=sharing"",""แผน!AU16"")"),0)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868"/>
      <c r="B231" s="867"/>
      <c r="C231" s="678" t="s">
        <v>99</v>
      </c>
      <c r="D231" s="866"/>
      <c r="E231" s="866"/>
      <c r="F231" s="866"/>
      <c r="G231" s="865"/>
      <c r="H231" s="677" t="s">
        <v>33</v>
      </c>
      <c r="I231" s="676">
        <f ca="1">I242+I253</f>
        <v>60</v>
      </c>
      <c r="J231" s="676">
        <f>J242+J253</f>
        <v>0</v>
      </c>
      <c r="K231" s="675">
        <f ca="1">IF(I231&gt;0,J231*100/I231,0)</f>
        <v>0</v>
      </c>
      <c r="L231" s="864"/>
      <c r="M231" s="864"/>
      <c r="N231" s="864"/>
      <c r="O231" s="864"/>
      <c r="P231" s="864"/>
    </row>
    <row r="232" spans="1:16" ht="19.5" hidden="1" x14ac:dyDescent="0.3">
      <c r="A232" s="863"/>
      <c r="B232" s="860"/>
      <c r="C232" s="531" t="s">
        <v>16</v>
      </c>
      <c r="D232" s="541" t="s">
        <v>17</v>
      </c>
      <c r="E232" s="860"/>
      <c r="F232" s="860"/>
      <c r="G232" s="859"/>
      <c r="H232" s="673" t="s">
        <v>12</v>
      </c>
      <c r="I232" s="856"/>
      <c r="J232" s="856"/>
      <c r="K232" s="855"/>
      <c r="L232" s="539">
        <f ca="1">L243+L254</f>
        <v>367900</v>
      </c>
      <c r="M232" s="850"/>
      <c r="N232" s="539">
        <f>N243+N254</f>
        <v>0</v>
      </c>
      <c r="O232" s="850"/>
      <c r="P232" s="850"/>
    </row>
    <row r="233" spans="1:16" ht="18.75" hidden="1" x14ac:dyDescent="0.25">
      <c r="A233" s="863"/>
      <c r="B233" s="861"/>
      <c r="C233" s="860"/>
      <c r="D233" s="334" t="s">
        <v>160</v>
      </c>
      <c r="E233" s="860"/>
      <c r="F233" s="860"/>
      <c r="G233" s="859"/>
      <c r="H233" s="536" t="s">
        <v>12</v>
      </c>
      <c r="I233" s="856"/>
      <c r="J233" s="856"/>
      <c r="K233" s="855"/>
      <c r="L233" s="521">
        <f ca="1">L244+L255</f>
        <v>205400</v>
      </c>
      <c r="M233" s="850"/>
      <c r="N233" s="521">
        <f>N244+N255</f>
        <v>0</v>
      </c>
      <c r="O233" s="850"/>
      <c r="P233" s="850"/>
    </row>
    <row r="234" spans="1:16" ht="18.75" hidden="1" x14ac:dyDescent="0.25">
      <c r="A234" s="862"/>
      <c r="B234" s="861"/>
      <c r="C234" s="861"/>
      <c r="D234" s="334" t="s">
        <v>81</v>
      </c>
      <c r="E234" s="860"/>
      <c r="F234" s="860"/>
      <c r="G234" s="859"/>
      <c r="H234" s="536" t="s">
        <v>12</v>
      </c>
      <c r="I234" s="197"/>
      <c r="J234" s="197"/>
      <c r="K234" s="850"/>
      <c r="L234" s="521">
        <f ca="1">L245+L256</f>
        <v>5000</v>
      </c>
      <c r="M234" s="850"/>
      <c r="N234" s="521">
        <f>N245+N256</f>
        <v>0</v>
      </c>
      <c r="O234" s="850"/>
      <c r="P234" s="850"/>
    </row>
    <row r="235" spans="1:16" ht="18.75" hidden="1" x14ac:dyDescent="0.25">
      <c r="A235" s="862"/>
      <c r="B235" s="861"/>
      <c r="C235" s="861"/>
      <c r="D235" s="334" t="s">
        <v>82</v>
      </c>
      <c r="E235" s="860"/>
      <c r="F235" s="860"/>
      <c r="G235" s="859"/>
      <c r="H235" s="536" t="s">
        <v>12</v>
      </c>
      <c r="I235" s="197"/>
      <c r="J235" s="197"/>
      <c r="K235" s="850"/>
      <c r="L235" s="521">
        <f ca="1">L246+L257</f>
        <v>80500</v>
      </c>
      <c r="M235" s="850"/>
      <c r="N235" s="521">
        <f>N246+N257</f>
        <v>0</v>
      </c>
      <c r="O235" s="850"/>
      <c r="P235" s="850"/>
    </row>
    <row r="236" spans="1:16" ht="18.75" hidden="1" x14ac:dyDescent="0.25">
      <c r="A236" s="862"/>
      <c r="B236" s="861"/>
      <c r="C236" s="861"/>
      <c r="D236" s="334" t="s">
        <v>83</v>
      </c>
      <c r="E236" s="860"/>
      <c r="F236" s="860"/>
      <c r="G236" s="859"/>
      <c r="H236" s="536" t="s">
        <v>12</v>
      </c>
      <c r="I236" s="197"/>
      <c r="J236" s="197"/>
      <c r="K236" s="850"/>
      <c r="L236" s="521">
        <f ca="1">L247+L258</f>
        <v>77000</v>
      </c>
      <c r="M236" s="850"/>
      <c r="N236" s="521">
        <f>N247+N258</f>
        <v>0</v>
      </c>
      <c r="O236" s="850"/>
      <c r="P236" s="850"/>
    </row>
    <row r="237" spans="1:16" ht="19.5" hidden="1" x14ac:dyDescent="0.3">
      <c r="A237" s="854"/>
      <c r="B237" s="853"/>
      <c r="C237" s="671" t="s">
        <v>16</v>
      </c>
      <c r="D237" s="530" t="s">
        <v>36</v>
      </c>
      <c r="E237" s="858"/>
      <c r="F237" s="858"/>
      <c r="G237" s="857"/>
      <c r="H237" s="851"/>
      <c r="I237" s="856"/>
      <c r="J237" s="197"/>
      <c r="K237" s="850"/>
      <c r="L237" s="850"/>
      <c r="M237" s="850"/>
      <c r="N237" s="850"/>
      <c r="O237" s="855"/>
      <c r="P237" s="855"/>
    </row>
    <row r="238" spans="1:16" ht="18.75" hidden="1" x14ac:dyDescent="0.25">
      <c r="A238" s="854"/>
      <c r="B238" s="853"/>
      <c r="C238" s="853"/>
      <c r="D238" s="524" t="s">
        <v>102</v>
      </c>
      <c r="E238" s="852"/>
      <c r="F238" s="852"/>
      <c r="G238" s="851"/>
      <c r="H238" s="668" t="s">
        <v>33</v>
      </c>
      <c r="I238" s="199">
        <f ca="1">I249+I260</f>
        <v>60</v>
      </c>
      <c r="J238" s="199">
        <f>J249+J260</f>
        <v>0</v>
      </c>
      <c r="K238" s="521">
        <f ca="1">IF(I238&gt;0,J238*100/I238,0)</f>
        <v>0</v>
      </c>
      <c r="L238" s="850"/>
      <c r="M238" s="850"/>
      <c r="N238" s="850"/>
      <c r="O238" s="850"/>
      <c r="P238" s="850"/>
    </row>
    <row r="239" spans="1:16" ht="18.75" hidden="1" x14ac:dyDescent="0.25">
      <c r="A239" s="854"/>
      <c r="B239" s="853"/>
      <c r="C239" s="853"/>
      <c r="D239" s="670" t="s">
        <v>41</v>
      </c>
      <c r="E239" s="852"/>
      <c r="F239" s="852"/>
      <c r="G239" s="851"/>
      <c r="H239" s="851"/>
      <c r="I239" s="197"/>
      <c r="J239" s="197"/>
      <c r="K239" s="850"/>
      <c r="L239" s="850"/>
      <c r="M239" s="850"/>
      <c r="N239" s="850"/>
      <c r="O239" s="855"/>
      <c r="P239" s="855"/>
    </row>
    <row r="240" spans="1:16" ht="18.75" hidden="1" x14ac:dyDescent="0.25">
      <c r="A240" s="854"/>
      <c r="B240" s="853"/>
      <c r="C240" s="853"/>
      <c r="D240" s="853"/>
      <c r="E240" s="669" t="s">
        <v>103</v>
      </c>
      <c r="F240" s="852"/>
      <c r="G240" s="851"/>
      <c r="H240" s="668" t="s">
        <v>33</v>
      </c>
      <c r="I240" s="199">
        <f ca="1">I251+I262</f>
        <v>60</v>
      </c>
      <c r="J240" s="199">
        <f>J251+J262</f>
        <v>0</v>
      </c>
      <c r="K240" s="521">
        <f ca="1">IF(I240&gt;0,J240*100/I240,0)</f>
        <v>0</v>
      </c>
      <c r="L240" s="850"/>
      <c r="M240" s="850"/>
      <c r="N240" s="850"/>
      <c r="O240" s="850"/>
      <c r="P240" s="850"/>
    </row>
    <row r="241" spans="1:16" ht="18.75" hidden="1" x14ac:dyDescent="0.25">
      <c r="A241" s="854"/>
      <c r="B241" s="853"/>
      <c r="C241" s="853"/>
      <c r="D241" s="853"/>
      <c r="E241" s="669" t="s">
        <v>104</v>
      </c>
      <c r="F241" s="852"/>
      <c r="G241" s="851"/>
      <c r="H241" s="668" t="s">
        <v>54</v>
      </c>
      <c r="I241" s="199">
        <f ca="1">I252+I263</f>
        <v>1</v>
      </c>
      <c r="J241" s="199">
        <f>J252+J263</f>
        <v>0</v>
      </c>
      <c r="K241" s="521">
        <f ca="1">IF(I241&gt;0,J241*100/I241,0)</f>
        <v>0</v>
      </c>
      <c r="L241" s="850"/>
      <c r="M241" s="850"/>
      <c r="N241" s="850"/>
      <c r="O241" s="850"/>
      <c r="P241" s="850"/>
    </row>
    <row r="242" spans="1:16" ht="19.5" x14ac:dyDescent="0.3">
      <c r="A242" s="279"/>
      <c r="B242" s="280"/>
      <c r="C242" s="281" t="s">
        <v>162</v>
      </c>
      <c r="D242" s="282"/>
      <c r="E242" s="282"/>
      <c r="F242" s="282"/>
      <c r="G242" s="283"/>
      <c r="H242" s="284" t="s">
        <v>33</v>
      </c>
      <c r="I242" s="285">
        <f ca="1">I249</f>
        <v>60</v>
      </c>
      <c r="J242" s="285">
        <f>J249</f>
        <v>0</v>
      </c>
      <c r="K242" s="286">
        <f ca="1">IF(I242&gt;0,J242*100/I242,0)</f>
        <v>0</v>
      </c>
      <c r="L242" s="287"/>
      <c r="M242" s="287"/>
      <c r="N242" s="287"/>
      <c r="O242" s="287"/>
      <c r="P242" s="287"/>
    </row>
    <row r="243" spans="1:16" ht="19.5" x14ac:dyDescent="0.3">
      <c r="A243" s="157"/>
      <c r="B243" s="53"/>
      <c r="C243" s="158" t="s">
        <v>16</v>
      </c>
      <c r="D243" s="849" t="s">
        <v>17</v>
      </c>
      <c r="E243" s="53"/>
      <c r="F243" s="53"/>
      <c r="G243" s="55"/>
      <c r="H243" s="289" t="s">
        <v>12</v>
      </c>
      <c r="I243" s="164"/>
      <c r="J243" s="164"/>
      <c r="K243" s="165"/>
      <c r="L243" s="161">
        <f ca="1">L244+L245+L246+L247</f>
        <v>367900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78"/>
      <c r="C244" s="53"/>
      <c r="D244" s="334" t="s">
        <v>160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IFERROR(__xludf.DUMMYFUNCTION("IMPORTRANGE(""https://docs.google.com/spreadsheets/d/1eHaY18a8A9IcSdp1K8H6x8fbOy06t2VsZHhMHf-1x7Y/edit?usp=sharing"",""แผน!AX16"")"),205400)</f>
        <v>205400</v>
      </c>
      <c r="M244" s="58"/>
      <c r="N244" s="848">
        <v>0</v>
      </c>
      <c r="O244" s="58"/>
      <c r="P244" s="58"/>
    </row>
    <row r="245" spans="1:16" ht="18.75" x14ac:dyDescent="0.25">
      <c r="A245" s="274"/>
      <c r="B245" s="278"/>
      <c r="C245" s="278"/>
      <c r="D245" s="334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IFERROR(__xludf.DUMMYFUNCTION("IMPORTRANGE(""https://docs.google.com/spreadsheets/d/1eHaY18a8A9IcSdp1K8H6x8fbOy06t2VsZHhMHf-1x7Y/edit?usp=sharing"",""แผน!AY16"")"),5000)</f>
        <v>5000</v>
      </c>
      <c r="M245" s="58"/>
      <c r="N245" s="848">
        <v>0</v>
      </c>
      <c r="O245" s="58"/>
      <c r="P245" s="58"/>
    </row>
    <row r="246" spans="1:16" ht="18.75" x14ac:dyDescent="0.25">
      <c r="A246" s="274"/>
      <c r="B246" s="278"/>
      <c r="C246" s="278"/>
      <c r="D246" s="334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IFERROR(__xludf.DUMMYFUNCTION("IMPORTRANGE(""https://docs.google.com/spreadsheets/d/1eHaY18a8A9IcSdp1K8H6x8fbOy06t2VsZHhMHf-1x7Y/edit?usp=sharing"",""แผน!AZ16"")"),80500)</f>
        <v>80500</v>
      </c>
      <c r="M246" s="58"/>
      <c r="N246" s="848">
        <v>0</v>
      </c>
      <c r="O246" s="58"/>
      <c r="P246" s="58"/>
    </row>
    <row r="247" spans="1:16" ht="18.75" x14ac:dyDescent="0.25">
      <c r="A247" s="274"/>
      <c r="B247" s="278"/>
      <c r="C247" s="278"/>
      <c r="D247" s="334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IFERROR(__xludf.DUMMYFUNCTION("IMPORTRANGE(""https://docs.google.com/spreadsheets/d/1eHaY18a8A9IcSdp1K8H6x8fbOy06t2VsZHhMHf-1x7Y/edit?usp=sharing"",""แผน!BA16"")"),77000)</f>
        <v>77000</v>
      </c>
      <c r="M247" s="58"/>
      <c r="N247" s="848">
        <v>0</v>
      </c>
      <c r="O247" s="58"/>
      <c r="P247" s="58"/>
    </row>
    <row r="248" spans="1:16" ht="19.5" x14ac:dyDescent="0.3">
      <c r="A248" s="167"/>
      <c r="B248" s="168"/>
      <c r="C248" s="296" t="s">
        <v>16</v>
      </c>
      <c r="D248" s="847" t="s">
        <v>36</v>
      </c>
      <c r="E248" s="170"/>
      <c r="F248" s="170"/>
      <c r="G248" s="171"/>
      <c r="H248" s="172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3" t="s">
        <v>102</v>
      </c>
      <c r="E249" s="174"/>
      <c r="F249" s="174"/>
      <c r="G249" s="172"/>
      <c r="H249" s="295" t="s">
        <v>33</v>
      </c>
      <c r="I249" s="194">
        <f ca="1">IFERROR(__xludf.DUMMYFUNCTION("IMPORTRANGE(""https://docs.google.com/spreadsheets/d/1eHaY18a8A9IcSdp1K8H6x8fbOy06t2VsZHhMHf-1x7Y/edit?usp=sharing"",""แผน!BG16"")"),60)</f>
        <v>60</v>
      </c>
      <c r="J249" s="846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6" t="s">
        <v>41</v>
      </c>
      <c r="E250" s="174"/>
      <c r="F250" s="174"/>
      <c r="G250" s="172"/>
      <c r="H250" s="172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7" t="s">
        <v>103</v>
      </c>
      <c r="F251" s="174"/>
      <c r="G251" s="172"/>
      <c r="H251" s="295" t="s">
        <v>33</v>
      </c>
      <c r="I251" s="194">
        <f ca="1">IFERROR(__xludf.DUMMYFUNCTION("IMPORTRANGE(""https://docs.google.com/spreadsheets/d/1eHaY18a8A9IcSdp1K8H6x8fbOy06t2VsZHhMHf-1x7Y/edit?usp=sharing"",""แผน!KN16"")"),60)</f>
        <v>60</v>
      </c>
      <c r="J251" s="846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7" t="s">
        <v>104</v>
      </c>
      <c r="F252" s="174"/>
      <c r="G252" s="172"/>
      <c r="H252" s="295" t="s">
        <v>54</v>
      </c>
      <c r="I252" s="194">
        <f ca="1">IFERROR(__xludf.DUMMYFUNCTION("IMPORTRANGE(""https://docs.google.com/spreadsheets/d/1eHaY18a8A9IcSdp1K8H6x8fbOy06t2VsZHhMHf-1x7Y/edit?usp=sharing"",""แผน!KO16"")"),1)</f>
        <v>1</v>
      </c>
      <c r="J252" s="846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334" t="s">
        <v>160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IFERROR(__xludf.DUMMYFUNCTION("IMPORTRANGE(""https://docs.google.com/spreadsheets/d/1eHaY18a8A9IcSdp1K8H6x8fbOy06t2VsZHhMHf-1x7Y/edit?usp=sharing"",""แผน!BB16"")"),0)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334" t="s">
        <v>81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IFERROR(__xludf.DUMMYFUNCTION("IMPORTRANGE(""https://docs.google.com/spreadsheets/d/1eHaY18a8A9IcSdp1K8H6x8fbOy06t2VsZHhMHf-1x7Y/edit?usp=sharing"",""แผน!BC16"")"),0)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334" t="s">
        <v>82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IFERROR(__xludf.DUMMYFUNCTION("IMPORTRANGE(""https://docs.google.com/spreadsheets/d/1eHaY18a8A9IcSdp1K8H6x8fbOy06t2VsZHhMHf-1x7Y/edit?usp=sharing"",""แผน!BD16"")"),0)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334" t="s">
        <v>83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IFERROR(__xludf.DUMMYFUNCTION("IMPORTRANGE(""https://docs.google.com/spreadsheets/d/1eHaY18a8A9IcSdp1K8H6x8fbOy06t2VsZHhMHf-1x7Y/edit?usp=sharing"",""แผน!BE16"")"),0)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IFERROR(__xludf.DUMMYFUNCTION("IMPORTRANGE(""https://docs.google.com/spreadsheets/d/1eHaY18a8A9IcSdp1K8H6x8fbOy06t2VsZHhMHf-1x7Y/edit?usp=sharing"",""แผน!BH16"")"),0)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IFERROR(__xludf.DUMMYFUNCTION("IMPORTRANGE(""https://docs.google.com/spreadsheets/d/1-uDff_7J0KD5mKrp0Vvzr7lt3OU09vwQwhkpOPPYv2Y/edit?usp=sharing"",""งบพรบ!DE16"")"),0)</f>
        <v>0</v>
      </c>
      <c r="M271" s="521">
        <f ca="1">IFERROR(__xludf.DUMMYFUNCTION("IMPORTRANGE(""https://docs.google.com/spreadsheets/d/1-uDff_7J0KD5mKrp0Vvzr7lt3OU09vwQwhkpOPPYv2Y/edit?usp=sharing"",""งบพรบ!DJ16"")"),0)</f>
        <v>0</v>
      </c>
      <c r="N271" s="521">
        <f ca="1">IFERROR(__xludf.DUMMYFUNCTION("IMPORTRANGE(""https://docs.google.com/spreadsheets/d/1-uDff_7J0KD5mKrp0Vvzr7lt3OU09vwQwhkpOPPYv2Y/edit?usp=sharing"",""งบพรบ!DL16"")"),0)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IFERROR(__xludf.DUMMYFUNCTION("IMPORTRANGE(""https://docs.google.com/spreadsheets/d/1-uDff_7J0KD5mKrp0Vvzr7lt3OU09vwQwhkpOPPYv2Y/edit?usp=sharing"",""งบพรบ!DH16"")"),0)</f>
        <v>0</v>
      </c>
      <c r="M274" s="521">
        <f ca="1">IFERROR(__xludf.DUMMYFUNCTION("IMPORTRANGE(""https://docs.google.com/spreadsheets/d/1-uDff_7J0KD5mKrp0Vvzr7lt3OU09vwQwhkpOPPYv2Y/edit?usp=sharing"",""งบพรบ!DK16"")"),0)</f>
        <v>0</v>
      </c>
      <c r="N274" s="521">
        <f ca="1">IFERROR(__xludf.DUMMYFUNCTION("IMPORTRANGE(""https://docs.google.com/spreadsheets/d/1-uDff_7J0KD5mKrp0Vvzr7lt3OU09vwQwhkpOPPYv2Y/edit?usp=sharing"",""งบพรบ!DM16"")"),0)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20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200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71120</v>
      </c>
      <c r="M282" s="577">
        <f ca="1">M283+M284</f>
        <v>59480</v>
      </c>
      <c r="N282" s="577">
        <f ca="1">N283+N284</f>
        <v>2580</v>
      </c>
      <c r="O282" s="577">
        <f ca="1">IF(L282&gt;0,N282*100/L282,0)</f>
        <v>3.6276715410573677</v>
      </c>
      <c r="P282" s="577">
        <f ca="1">IF(M282&gt;0,N282*100/M282,0)</f>
        <v>4.3375924680564895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71120</v>
      </c>
      <c r="M284" s="425">
        <f ca="1">M287+M290</f>
        <v>59480</v>
      </c>
      <c r="N284" s="425">
        <f ca="1">N287+N290</f>
        <v>2580</v>
      </c>
      <c r="O284" s="425">
        <f ca="1">IF(L284&gt;0,N284*100/L284,0)</f>
        <v>3.6276715410573677</v>
      </c>
      <c r="P284" s="425">
        <f ca="1">IF(M284&gt;0,N284*100/M284,0)</f>
        <v>4.3375924680564895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71120</v>
      </c>
      <c r="M285" s="425">
        <f ca="1">M286+M287</f>
        <v>59480</v>
      </c>
      <c r="N285" s="425">
        <f ca="1">N286+N287</f>
        <v>2580</v>
      </c>
      <c r="O285" s="425">
        <f ca="1">IF(L285&gt;0,N285*100/L285,0)</f>
        <v>3.6276715410573677</v>
      </c>
      <c r="P285" s="425">
        <f ca="1">IF(M285&gt;0,N285*100/M285,0)</f>
        <v>4.3375924680564895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IFERROR(__xludf.DUMMYFUNCTION("IMPORTRANGE(""https://docs.google.com/spreadsheets/d/1-uDff_7J0KD5mKrp0Vvzr7lt3OU09vwQwhkpOPPYv2Y/edit?usp=sharing"",""งบพรบ!DO16"")"),71120)</f>
        <v>71120</v>
      </c>
      <c r="M287" s="425">
        <f ca="1">IFERROR(__xludf.DUMMYFUNCTION("IMPORTRANGE(""https://docs.google.com/spreadsheets/d/1-uDff_7J0KD5mKrp0Vvzr7lt3OU09vwQwhkpOPPYv2Y/edit?usp=sharing"",""งบพรบ!DT16"")"),59480)</f>
        <v>59480</v>
      </c>
      <c r="N287" s="425">
        <f ca="1">IFERROR(__xludf.DUMMYFUNCTION("IMPORTRANGE(""https://docs.google.com/spreadsheets/d/1-uDff_7J0KD5mKrp0Vvzr7lt3OU09vwQwhkpOPPYv2Y/edit?usp=sharing"",""งบพรบ!DV16"")"),2580)</f>
        <v>2580</v>
      </c>
      <c r="O287" s="425">
        <f ca="1">IF(L287&gt;0,N287*100/L287,0)</f>
        <v>3.6276715410573677</v>
      </c>
      <c r="P287" s="425">
        <f ca="1">IF(M287&gt;0,N287*100/M287,0)</f>
        <v>4.3375924680564895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IFERROR(__xludf.DUMMYFUNCTION("IMPORTRANGE(""https://docs.google.com/spreadsheets/d/1-uDff_7J0KD5mKrp0Vvzr7lt3OU09vwQwhkpOPPYv2Y/edit?usp=sharing"",""งบพรบ!DR16"")"),0)</f>
        <v>0</v>
      </c>
      <c r="M290" s="425">
        <f ca="1">IFERROR(__xludf.DUMMYFUNCTION("IMPORTRANGE(""https://docs.google.com/spreadsheets/d/1-uDff_7J0KD5mKrp0Vvzr7lt3OU09vwQwhkpOPPYv2Y/edit?usp=sharing"",""งบพรบ!DU16"")"),0)</f>
        <v>0</v>
      </c>
      <c r="N290" s="425">
        <f ca="1">IFERROR(__xludf.DUMMYFUNCTION("IMPORTRANGE(""https://docs.google.com/spreadsheets/d/1-uDff_7J0KD5mKrp0Vvzr7lt3OU09vwQwhkpOPPYv2Y/edit?usp=sharing"",""งบพรบ!DW16"")"),0)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IFERROR(__xludf.DUMMYFUNCTION("IMPORTRANGE(""https://docs.google.com/spreadsheets/d/1eHaY18a8A9IcSdp1K8H6x8fbOy06t2VsZHhMHf-1x7Y/edit?usp=sharing"",""แผน!EE16"")"),200)</f>
        <v>200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IFERROR(__xludf.DUMMYFUNCTION("IMPORTRANGE(""https://docs.google.com/spreadsheets/d/1eHaY18a8A9IcSdp1K8H6x8fbOy06t2VsZHhMHf-1x7Y/edit?usp=sharing"",""แผน!ED16"")"),20)</f>
        <v>20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IFERROR(__xludf.DUMMYFUNCTION("IMPORTRANGE(""https://docs.google.com/spreadsheets/d/1eHaY18a8A9IcSdp1K8H6x8fbOy06t2VsZHhMHf-1x7Y/edit?usp=sharing"",""แผน!ED16"")"),20)</f>
        <v>20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IFERROR(__xludf.DUMMYFUNCTION("IMPORTRANGE(""https://docs.google.com/spreadsheets/d/1eHaY18a8A9IcSdp1K8H6x8fbOy06t2VsZHhMHf-1x7Y/edit?usp=sharing"",""แผน!ED16"")"),20)</f>
        <v>20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235700</v>
      </c>
      <c r="M303" s="577">
        <f ca="1">M304+M305</f>
        <v>173900</v>
      </c>
      <c r="N303" s="577">
        <f ca="1">N304+N305</f>
        <v>85840</v>
      </c>
      <c r="O303" s="577">
        <f ca="1">IF(L303&gt;0,N303*100/L303,0)</f>
        <v>36.419176919813324</v>
      </c>
      <c r="P303" s="577">
        <f ca="1">IF(M303&gt;0,N303*100/M303,0)</f>
        <v>49.361702127659576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235700</v>
      </c>
      <c r="M305" s="425">
        <f ca="1">M308+M311</f>
        <v>173900</v>
      </c>
      <c r="N305" s="425">
        <f ca="1">N308+N311</f>
        <v>85840</v>
      </c>
      <c r="O305" s="425">
        <f ca="1">IF(L305&gt;0,N305*100/L305,0)</f>
        <v>36.419176919813324</v>
      </c>
      <c r="P305" s="425">
        <f ca="1">IF(M305&gt;0,N305*100/M305,0)</f>
        <v>49.361702127659576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235700</v>
      </c>
      <c r="M306" s="425">
        <f ca="1">M307+M308</f>
        <v>173900</v>
      </c>
      <c r="N306" s="425">
        <f ca="1">N307+N308</f>
        <v>85840</v>
      </c>
      <c r="O306" s="425">
        <f ca="1">IF(L306&gt;0,N306*100/L306,0)</f>
        <v>36.419176919813324</v>
      </c>
      <c r="P306" s="425">
        <f ca="1">IF(M306&gt;0,N306*100/M306,0)</f>
        <v>49.361702127659576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IFERROR(__xludf.DUMMYFUNCTION("IMPORTRANGE(""https://docs.google.com/spreadsheets/d/1-uDff_7J0KD5mKrp0Vvzr7lt3OU09vwQwhkpOPPYv2Y/edit?usp=sharing"",""งบพรบ!DY16"")"),235700)</f>
        <v>235700</v>
      </c>
      <c r="M308" s="425">
        <f ca="1">IFERROR(__xludf.DUMMYFUNCTION("IMPORTRANGE(""https://docs.google.com/spreadsheets/d/1-uDff_7J0KD5mKrp0Vvzr7lt3OU09vwQwhkpOPPYv2Y/edit?usp=sharing"",""งบพรบ!ED16"")"),173900)</f>
        <v>173900</v>
      </c>
      <c r="N308" s="425">
        <f ca="1">IFERROR(__xludf.DUMMYFUNCTION("IMPORTRANGE(""https://docs.google.com/spreadsheets/d/1-uDff_7J0KD5mKrp0Vvzr7lt3OU09vwQwhkpOPPYv2Y/edit?usp=sharing"",""งบพรบ!EF16"")"),85840)</f>
        <v>85840</v>
      </c>
      <c r="O308" s="425">
        <f ca="1">IF(L308&gt;0,N308*100/L308,0)</f>
        <v>36.419176919813324</v>
      </c>
      <c r="P308" s="425">
        <f ca="1">IF(M308&gt;0,N308*100/M308,0)</f>
        <v>49.361702127659576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IFERROR(__xludf.DUMMYFUNCTION("IMPORTRANGE(""https://docs.google.com/spreadsheets/d/1-uDff_7J0KD5mKrp0Vvzr7lt3OU09vwQwhkpOPPYv2Y/edit?usp=sharing"",""งบพรบ!EB16"")"),0)</f>
        <v>0</v>
      </c>
      <c r="M311" s="425">
        <f ca="1">IFERROR(__xludf.DUMMYFUNCTION("IMPORTRANGE(""https://docs.google.com/spreadsheets/d/1-uDff_7J0KD5mKrp0Vvzr7lt3OU09vwQwhkpOPPYv2Y/edit?usp=sharing"",""งบพรบ!EE16"")"),0)</f>
        <v>0</v>
      </c>
      <c r="N311" s="425">
        <f ca="1">IFERROR(__xludf.DUMMYFUNCTION("IMPORTRANGE(""https://docs.google.com/spreadsheets/d/1-uDff_7J0KD5mKrp0Vvzr7lt3OU09vwQwhkpOPPYv2Y/edit?usp=sharing"",""งบพรบ!EG16"")"),0)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IFERROR(__xludf.DUMMYFUNCTION("IMPORTRANGE(""https://docs.google.com/spreadsheets/d/1eHaY18a8A9IcSdp1K8H6x8fbOy06t2VsZHhMHf-1x7Y/edit?usp=sharing"",""แผน!EF16"")"),20)</f>
        <v>20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IFERROR(__xludf.DUMMYFUNCTION("IMPORTRANGE(""https://docs.google.com/spreadsheets/d/1eHaY18a8A9IcSdp1K8H6x8fbOy06t2VsZHhMHf-1x7Y/edit?usp=sharing"",""แผน!EG16"")"),4)</f>
        <v>4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IFERROR(__xludf.DUMMYFUNCTION("IMPORTRANGE(""https://docs.google.com/spreadsheets/d/1eHaY18a8A9IcSdp1K8H6x8fbOy06t2VsZHhMHf-1x7Y/edit?usp=sharing"",""แผน!EH16"")"),20)</f>
        <v>20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IFERROR(__xludf.DUMMYFUNCTION("IMPORTRANGE(""https://docs.google.com/spreadsheets/d/1eHaY18a8A9IcSdp1K8H6x8fbOy06t2VsZHhMHf-1x7Y/edit?usp=sharing"",""แผน!EI16"")"),4)</f>
        <v>4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IFERROR(__xludf.DUMMYFUNCTION("IMPORTRANGE(""https://docs.google.com/spreadsheets/d/1-uDff_7J0KD5mKrp0Vvzr7lt3OU09vwQwhkpOPPYv2Y/edit?usp=sharing"",""งบพรบ!EI16"")"),0)</f>
        <v>0</v>
      </c>
      <c r="M325" s="425">
        <f ca="1">IFERROR(__xludf.DUMMYFUNCTION("IMPORTRANGE(""https://docs.google.com/spreadsheets/d/1-uDff_7J0KD5mKrp0Vvzr7lt3OU09vwQwhkpOPPYv2Y/edit?usp=sharing"",""งบพรบ!EN16"")"),0)</f>
        <v>0</v>
      </c>
      <c r="N325" s="425">
        <f ca="1">IFERROR(__xludf.DUMMYFUNCTION("IMPORTRANGE(""https://docs.google.com/spreadsheets/d/1-uDff_7J0KD5mKrp0Vvzr7lt3OU09vwQwhkpOPPYv2Y/edit?usp=sharing"",""งบพรบ!EP16"")"),0)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IFERROR(__xludf.DUMMYFUNCTION("IMPORTRANGE(""https://docs.google.com/spreadsheets/d/1-uDff_7J0KD5mKrp0Vvzr7lt3OU09vwQwhkpOPPYv2Y/edit?usp=sharing"",""งบพรบ!EL16"")"),0)</f>
        <v>0</v>
      </c>
      <c r="M328" s="425">
        <f ca="1">IFERROR(__xludf.DUMMYFUNCTION("IMPORTRANGE(""https://docs.google.com/spreadsheets/d/1-uDff_7J0KD5mKrp0Vvzr7lt3OU09vwQwhkpOPPYv2Y/edit?usp=sharing"",""งบพรบ!EO16"")"),0)</f>
        <v>0</v>
      </c>
      <c r="N328" s="425">
        <f ca="1">IFERROR(__xludf.DUMMYFUNCTION("IMPORTRANGE(""https://docs.google.com/spreadsheets/d/1-uDff_7J0KD5mKrp0Vvzr7lt3OU09vwQwhkpOPPYv2Y/edit?usp=sharing"",""งบพรบ!EQ16"")"),0)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IFERROR(__xludf.DUMMYFUNCTION("IMPORTRANGE(""https://docs.google.com/spreadsheets/d/1eHaY18a8A9IcSdp1K8H6x8fbOy06t2VsZHhMHf-1x7Y/edit?usp=sharing"",""แผน!EJ16"")"),0)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600</v>
      </c>
      <c r="J332" s="402">
        <f ca="1">J344+J347+J348+J349+J353</f>
        <v>2532</v>
      </c>
      <c r="K332" s="403">
        <f ca="1">IF(I332&gt;0,J332*100/I332,0)</f>
        <v>422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103000</v>
      </c>
      <c r="M333" s="577">
        <f ca="1">M334+M335</f>
        <v>83350</v>
      </c>
      <c r="N333" s="577">
        <f ca="1">N334+N335</f>
        <v>36000</v>
      </c>
      <c r="O333" s="577">
        <f ca="1">IF(L333&gt;0,N333*100/L333,0)</f>
        <v>34.95145631067961</v>
      </c>
      <c r="P333" s="577">
        <f ca="1">IF(M333&gt;0,N333*100/M333,0)</f>
        <v>43.191361727654467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103000</v>
      </c>
      <c r="M335" s="425">
        <f ca="1">M338+M341</f>
        <v>83350</v>
      </c>
      <c r="N335" s="425">
        <f ca="1">N338+N341</f>
        <v>36000</v>
      </c>
      <c r="O335" s="425">
        <f ca="1">IF(L335&gt;0,N335*100/L335,0)</f>
        <v>34.95145631067961</v>
      </c>
      <c r="P335" s="425">
        <f ca="1">IF(M335&gt;0,N335*100/M335,0)</f>
        <v>43.191361727654467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103000</v>
      </c>
      <c r="M336" s="425">
        <f ca="1">M337+M338</f>
        <v>83350</v>
      </c>
      <c r="N336" s="425">
        <f ca="1">N337+N338</f>
        <v>36000</v>
      </c>
      <c r="O336" s="425">
        <f ca="1">IF(L336&gt;0,N336*100/L336,0)</f>
        <v>34.95145631067961</v>
      </c>
      <c r="P336" s="425">
        <f ca="1">IF(M336&gt;0,N336*100/M336,0)</f>
        <v>43.191361727654467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IFERROR(__xludf.DUMMYFUNCTION("IMPORTRANGE(""https://docs.google.com/spreadsheets/d/1-uDff_7J0KD5mKrp0Vvzr7lt3OU09vwQwhkpOPPYv2Y/edit?usp=sharing"",""งบพรบ!ES16"")"),103000)</f>
        <v>103000</v>
      </c>
      <c r="M338" s="425">
        <f ca="1">IFERROR(__xludf.DUMMYFUNCTION("IMPORTRANGE(""https://docs.google.com/spreadsheets/d/1-uDff_7J0KD5mKrp0Vvzr7lt3OU09vwQwhkpOPPYv2Y/edit?usp=sharing"",""งบพรบ!EX16"")"),83350)</f>
        <v>83350</v>
      </c>
      <c r="N338" s="425">
        <f ca="1">IFERROR(__xludf.DUMMYFUNCTION("IMPORTRANGE(""https://docs.google.com/spreadsheets/d/1-uDff_7J0KD5mKrp0Vvzr7lt3OU09vwQwhkpOPPYv2Y/edit?usp=sharing"",""งบพรบ!EZ16"")"),36000)</f>
        <v>36000</v>
      </c>
      <c r="O338" s="425">
        <f ca="1">IF(L338&gt;0,N338*100/L338,0)</f>
        <v>34.95145631067961</v>
      </c>
      <c r="P338" s="425">
        <f ca="1">IF(M338&gt;0,N338*100/M338,0)</f>
        <v>43.191361727654467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IFERROR(__xludf.DUMMYFUNCTION("IMPORTRANGE(""https://docs.google.com/spreadsheets/d/1-uDff_7J0KD5mKrp0Vvzr7lt3OU09vwQwhkpOPPYv2Y/edit?usp=sharing"",""งบพรบ!EV16"")"),0)</f>
        <v>0</v>
      </c>
      <c r="M341" s="425">
        <f ca="1">IFERROR(__xludf.DUMMYFUNCTION("IMPORTRANGE(""https://docs.google.com/spreadsheets/d/1-uDff_7J0KD5mKrp0Vvzr7lt3OU09vwQwhkpOPPYv2Y/edit?usp=sharing"",""งบพรบ!EY16"")"),0)</f>
        <v>0</v>
      </c>
      <c r="N341" s="425">
        <f ca="1">IFERROR(__xludf.DUMMYFUNCTION("IMPORTRANGE(""https://docs.google.com/spreadsheets/d/1-uDff_7J0KD5mKrp0Vvzr7lt3OU09vwQwhkpOPPYv2Y/edit?usp=sharing"",""งบพรบ!FA16"")"),0)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765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IFERROR(__xludf.DUMMYFUNCTION("IMPORTRANGE(""https://docs.google.com/spreadsheets/d/1eHaY18a8A9IcSdp1K8H6x8fbOy06t2VsZHhMHf-1x7Y/edit?usp=sharing"",""แผน!EK16"")"),600)</f>
        <v>600</v>
      </c>
      <c r="J344" s="424">
        <f ca="1">IFERROR(__xludf.DUMMYFUNCTION("IMPORTRANGE(""https://docs.google.com/spreadsheets/d/1awYsYK3VOup2i3Pq_Yjnu8DRu_mYwSBnCR2QPthd0rU/edit?usp=sharing"",""ศูนย์ยกเว้นโฉนด!D16"")"),593)</f>
        <v>593</v>
      </c>
      <c r="K344" s="425">
        <f ca="1">IF(I344&gt;0,J344*100/I344,0)</f>
        <v>98.833333333333329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IFERROR(__xludf.DUMMYFUNCTION("IMPORTRANGE(""https://docs.google.com/spreadsheets/d/1eHaY18a8A9IcSdp1K8H6x8fbOy06t2VsZHhMHf-1x7Y/edit?usp=sharing"",""แผน!EL16"")"),3)</f>
        <v>3</v>
      </c>
      <c r="J346" s="424">
        <f ca="1">IFERROR(__xludf.DUMMYFUNCTION("IMPORTRANGE(""https://docs.google.com/spreadsheets/d/1awYsYK3VOup2i3Pq_Yjnu8DRu_mYwSBnCR2QPthd0rU/edit?usp=sharing"",""ศูนย์รวม!E16"")"),2)</f>
        <v>2</v>
      </c>
      <c r="K346" s="425">
        <f ca="1">IF(I346&gt;0,J346*100/I346,0)</f>
        <v>66.666666666666671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IFERROR(__xludf.DUMMYFUNCTION("IMPORTRANGE(""https://docs.google.com/spreadsheets/d/1awYsYK3VOup2i3Pq_Yjnu8DRu_mYwSBnCR2QPthd0rU/edit?usp=sharing"",""ศูนย์ยกเว้นโฉนด!F16"")"),53)</f>
        <v>53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IFERROR(__xludf.DUMMYFUNCTION("IMPORTRANGE(""https://docs.google.com/spreadsheets/d/1awYsYK3VOup2i3Pq_Yjnu8DRu_mYwSBnCR2QPthd0rU/edit?usp=sharing"",""ศูนย์ยกเว้นโฉนด!G16"")"),119)</f>
        <v>119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IFERROR(__xludf.DUMMYFUNCTION("IMPORTRANGE(""https://docs.google.com/spreadsheets/d/1awYsYK3VOup2i3Pq_Yjnu8DRu_mYwSBnCR2QPthd0rU/edit?usp=sharing"",""ศูนย์ยกเว้นโฉนด!H16"")"),0)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2198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IFERROR(__xludf.DUMMYFUNCTION("IMPORTRANGE(""https://docs.google.com/spreadsheets/d/1awYsYK3VOup2i3Pq_Yjnu8DRu_mYwSBnCR2QPthd0rU/edit?usp=sharing"",""โฉนดM3!G16"")"),431)</f>
        <v>431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IFERROR(__xludf.DUMMYFUNCTION("IMPORTRANGE(""https://docs.google.com/spreadsheets/d/1awYsYK3VOup2i3Pq_Yjnu8DRu_mYwSBnCR2QPthd0rU/edit?usp=sharing"",""โฉนดM3!H16"")"),1767)</f>
        <v>1767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352735</v>
      </c>
      <c r="M356" s="577">
        <f ca="1">M357+M358</f>
        <v>298655</v>
      </c>
      <c r="N356" s="577">
        <f ca="1">N357+N358</f>
        <v>93500.02</v>
      </c>
      <c r="O356" s="577">
        <f ca="1">IF(L356&gt;0,N356*100/L356,0)</f>
        <v>26.507156930840434</v>
      </c>
      <c r="P356" s="577">
        <f ca="1">IF(M356&gt;0,N356*100/M356,0)</f>
        <v>31.307033198841474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352735</v>
      </c>
      <c r="M358" s="425">
        <f ca="1">M361+M364</f>
        <v>298655</v>
      </c>
      <c r="N358" s="425">
        <f ca="1">N361+N364</f>
        <v>93500.02</v>
      </c>
      <c r="O358" s="425">
        <f ca="1">IF(L358&gt;0,N358*100/L358,0)</f>
        <v>26.507156930840434</v>
      </c>
      <c r="P358" s="425">
        <f ca="1">IF(M358&gt;0,N358*100/M358,0)</f>
        <v>31.307033198841474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352735</v>
      </c>
      <c r="M359" s="425">
        <f ca="1">M360+M361</f>
        <v>298655</v>
      </c>
      <c r="N359" s="425">
        <f ca="1">N360+N361</f>
        <v>93500.02</v>
      </c>
      <c r="O359" s="425">
        <f ca="1">IF(L359&gt;0,N359*100/L359,0)</f>
        <v>26.507156930840434</v>
      </c>
      <c r="P359" s="425">
        <f ca="1">IF(M359&gt;0,N359*100/M359,0)</f>
        <v>31.307033198841474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IFERROR(__xludf.DUMMYFUNCTION("IMPORTRANGE(""https://docs.google.com/spreadsheets/d/1-uDff_7J0KD5mKrp0Vvzr7lt3OU09vwQwhkpOPPYv2Y/edit?usp=sharing"",""งบพรบ!FC16"")"),352735)</f>
        <v>352735</v>
      </c>
      <c r="M361" s="425">
        <f ca="1">IFERROR(__xludf.DUMMYFUNCTION("IMPORTRANGE(""https://docs.google.com/spreadsheets/d/1-uDff_7J0KD5mKrp0Vvzr7lt3OU09vwQwhkpOPPYv2Y/edit?usp=sharing"",""งบพรบ!FH16"")"),298655)</f>
        <v>298655</v>
      </c>
      <c r="N361" s="425">
        <f ca="1">IFERROR(__xludf.DUMMYFUNCTION("IMPORTRANGE(""https://docs.google.com/spreadsheets/d/1-uDff_7J0KD5mKrp0Vvzr7lt3OU09vwQwhkpOPPYv2Y/edit?usp=sharing"",""งบพรบ!FJ16"")"),93500.02)</f>
        <v>93500.02</v>
      </c>
      <c r="O361" s="425">
        <f ca="1">IF(L361&gt;0,N361*100/L361,0)</f>
        <v>26.507156930840434</v>
      </c>
      <c r="P361" s="425">
        <f ca="1">IF(M361&gt;0,N361*100/M361,0)</f>
        <v>31.307033198841474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IFERROR(__xludf.DUMMYFUNCTION("IMPORTRANGE(""https://docs.google.com/spreadsheets/d/1-uDff_7J0KD5mKrp0Vvzr7lt3OU09vwQwhkpOPPYv2Y/edit?usp=sharing"",""งบพรบ!FF16"")"),0)</f>
        <v>0</v>
      </c>
      <c r="M364" s="425">
        <f ca="1">IFERROR(__xludf.DUMMYFUNCTION("IMPORTRANGE(""https://docs.google.com/spreadsheets/d/1-uDff_7J0KD5mKrp0Vvzr7lt3OU09vwQwhkpOPPYv2Y/edit?usp=sharing"",""งบพรบ!FI16"")"),0)</f>
        <v>0</v>
      </c>
      <c r="N364" s="425">
        <f ca="1">IFERROR(__xludf.DUMMYFUNCTION("IMPORTRANGE(""https://docs.google.com/spreadsheets/d/1-uDff_7J0KD5mKrp0Vvzr7lt3OU09vwQwhkpOPPYv2Y/edit?usp=sharing"",""งบพรบ!FK16"")"),0)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114</v>
      </c>
      <c r="J365" s="438">
        <f ca="1">J371</f>
        <v>24</v>
      </c>
      <c r="K365" s="439">
        <f ca="1">IF(I365&gt;0,J365*100/I365,0)</f>
        <v>21.05263157894737</v>
      </c>
      <c r="L365" s="571"/>
      <c r="M365" s="571"/>
      <c r="N365" s="571"/>
      <c r="O365" s="571"/>
      <c r="P365" s="571"/>
    </row>
    <row r="366" spans="1:16" ht="19.5" hidden="1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IFERROR(__xludf.DUMMYFUNCTION("IMPORTRANGE(""https://docs.google.com/spreadsheets/d/1tdoBKaGub7dwA3U6UFTqxio9LNnvDCQjHKmttSEBsFQ/edit?usp=sharing"",""จัดที่ดิน!AB16"")"),39)</f>
        <v>39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IFERROR(__xludf.DUMMYFUNCTION("IMPORTRANGE(""https://docs.google.com/spreadsheets/d/1eHaY18a8A9IcSdp1K8H6x8fbOy06t2VsZHhMHf-1x7Y/edit?usp=sharing"",""แผน!EW16"")"),905)</f>
        <v>905</v>
      </c>
      <c r="J368" s="565">
        <f ca="1">IFERROR(__xludf.DUMMYFUNCTION("IMPORTRANGE(""https://docs.google.com/spreadsheets/d/1tdoBKaGub7dwA3U6UFTqxio9LNnvDCQjHKmttSEBsFQ/edit?usp=sharing"",""จัดที่ดิน!AC16"")"),175.81)</f>
        <v>175.81</v>
      </c>
      <c r="K368" s="425">
        <f ca="1">IF(I368&gt;0,J368*100/I368,0)</f>
        <v>19.426519337016575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IFERROR(__xludf.DUMMYFUNCTION("IMPORTRANGE(""https://docs.google.com/spreadsheets/d/1eHaY18a8A9IcSdp1K8H6x8fbOy06t2VsZHhMHf-1x7Y/edit?usp=sharing"",""แผน!EX16"")"),131)</f>
        <v>131</v>
      </c>
      <c r="J369" s="424">
        <f ca="1">IFERROR(__xludf.DUMMYFUNCTION("IMPORTRANGE(""https://docs.google.com/spreadsheets/d/1tdoBKaGub7dwA3U6UFTqxio9LNnvDCQjHKmttSEBsFQ/edit?usp=sharing"",""จัดที่ดิน!AD16"")"),73)</f>
        <v>73</v>
      </c>
      <c r="K369" s="425">
        <f ca="1">IF(I369&gt;0,J369*100/I369,0)</f>
        <v>55.725190839694655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IFERROR(__xludf.DUMMYFUNCTION("IMPORTRANGE(""https://docs.google.com/spreadsheets/d/1tdoBKaGub7dwA3U6UFTqxio9LNnvDCQjHKmttSEBsFQ/edit?usp=sharing"",""จัดที่ดิน!AE16"")"),433.61)</f>
        <v>433.61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IFERROR(__xludf.DUMMYFUNCTION("IMPORTRANGE(""https://docs.google.com/spreadsheets/d/1eHaY18a8A9IcSdp1K8H6x8fbOy06t2VsZHhMHf-1x7Y/edit?usp=sharing"",""แผน!EY16"")"),114)</f>
        <v>114</v>
      </c>
      <c r="J371" s="424">
        <f ca="1">IFERROR(__xludf.DUMMYFUNCTION("IMPORTRANGE(""https://docs.google.com/spreadsheets/d/1tdoBKaGub7dwA3U6UFTqxio9LNnvDCQjHKmttSEBsFQ/edit?usp=sharing"",""จัดที่ดิน!AF16"")"),24)</f>
        <v>24</v>
      </c>
      <c r="K371" s="425">
        <f ca="1">IF(I371&gt;0,J371*100/I371,0)</f>
        <v>21.05263157894737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IFERROR(__xludf.DUMMYFUNCTION("IMPORTRANGE(""https://docs.google.com/spreadsheets/d/1tdoBKaGub7dwA3U6UFTqxio9LNnvDCQjHKmttSEBsFQ/edit?usp=sharing"",""จัดที่ดิน!AG16"")"),173.99)</f>
        <v>173.99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IFERROR(__xludf.DUMMYFUNCTION("IMPORTRANGE(""https://docs.google.com/spreadsheets/d/1-uDff_7J0KD5mKrp0Vvzr7lt3OU09vwQwhkpOPPYv2Y/edit?usp=sharing"",""งบพรบ!FM16"")"),0)</f>
        <v>0</v>
      </c>
      <c r="M382" s="521">
        <f ca="1">IFERROR(__xludf.DUMMYFUNCTION("IMPORTRANGE(""https://docs.google.com/spreadsheets/d/1-uDff_7J0KD5mKrp0Vvzr7lt3OU09vwQwhkpOPPYv2Y/edit?usp=sharing"",""งบพรบ!FR16"")"),0)</f>
        <v>0</v>
      </c>
      <c r="N382" s="521">
        <f ca="1">IFERROR(__xludf.DUMMYFUNCTION("IMPORTRANGE(""https://docs.google.com/spreadsheets/d/1-uDff_7J0KD5mKrp0Vvzr7lt3OU09vwQwhkpOPPYv2Y/edit?usp=sharing"",""งบพรบ!FT16"")"),0)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IFERROR(__xludf.DUMMYFUNCTION("IMPORTRANGE(""https://docs.google.com/spreadsheets/d/1-uDff_7J0KD5mKrp0Vvzr7lt3OU09vwQwhkpOPPYv2Y/edit?usp=sharing"",""งบพรบ!FP16"")"),0)</f>
        <v>0</v>
      </c>
      <c r="M385" s="521">
        <f ca="1">IFERROR(__xludf.DUMMYFUNCTION("IMPORTRANGE(""https://docs.google.com/spreadsheets/d/1-uDff_7J0KD5mKrp0Vvzr7lt3OU09vwQwhkpOPPYv2Y/edit?usp=sharing"",""งบพรบ!FS16"")"),0)</f>
        <v>0</v>
      </c>
      <c r="N385" s="521">
        <f ca="1">IFERROR(__xludf.DUMMYFUNCTION("IMPORTRANGE(""https://docs.google.com/spreadsheets/d/1-uDff_7J0KD5mKrp0Vvzr7lt3OU09vwQwhkpOPPYv2Y/edit?usp=sharing"",""งบพรบ!FU16"")"),0)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E713-0575-4F23-A77D-FDC628381498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" bestFit="1" customWidth="1"/>
    <col min="11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164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1857370</v>
      </c>
      <c r="M18" s="704">
        <f ca="1">M19+M20</f>
        <v>1517730</v>
      </c>
      <c r="N18" s="704">
        <f ca="1">N19+N20</f>
        <v>596706.98</v>
      </c>
      <c r="O18" s="704">
        <f ca="1">IF(L18&gt;0,N18*100/L18,0)</f>
        <v>32.12644653461615</v>
      </c>
      <c r="P18" s="704">
        <f ca="1">IF(M18&gt;0,N18*100/M18,0)</f>
        <v>39.315753131321117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1857370</v>
      </c>
      <c r="M20" s="817">
        <f ca="1">M23+M26</f>
        <v>1517730</v>
      </c>
      <c r="N20" s="817">
        <f ca="1">N23+N26</f>
        <v>596706.98</v>
      </c>
      <c r="O20" s="817">
        <f ca="1">IF(L20&gt;0,N20*100/L20,0)</f>
        <v>32.12644653461615</v>
      </c>
      <c r="P20" s="817">
        <f ca="1">IF(M20&gt;0,N20*100/M20,0)</f>
        <v>39.315753131321117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1857370</v>
      </c>
      <c r="M21" s="425">
        <f ca="1">M22+M23</f>
        <v>1517730</v>
      </c>
      <c r="N21" s="425">
        <f ca="1">N22+N23</f>
        <v>596706.98</v>
      </c>
      <c r="O21" s="425">
        <f ca="1">IF(L21&gt;0,N21*100/L21,0)</f>
        <v>32.12644653461615</v>
      </c>
      <c r="P21" s="425">
        <f ca="1">IF(M21&gt;0,N21*100/M21,0)</f>
        <v>39.315753131321117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1857370</v>
      </c>
      <c r="M23" s="425">
        <f ca="1">M49+M64+M77+M99+M130+M144+M162+M191+M178+M271+M287+M308+M325+M338+M361+M382</f>
        <v>1517730</v>
      </c>
      <c r="N23" s="425">
        <f ca="1">N49+N64+N77+N99+N130+N144+N162+N191+N178+N271+N287+N308+N325+N338+N361+N382</f>
        <v>596706.98</v>
      </c>
      <c r="O23" s="425">
        <f ca="1">IF(L23&gt;0,N23*100/L23,0)</f>
        <v>32.12644653461615</v>
      </c>
      <c r="P23" s="425">
        <f ca="1">IF(M23&gt;0,N23*100/M23,0)</f>
        <v>39.315753131321117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1857370</v>
      </c>
      <c r="M40" s="809">
        <f ca="1">M44+M59+M72+M94+M125+M139+M157+M173+M186+M266+M282+M303+M320+M333+M356</f>
        <v>1517730</v>
      </c>
      <c r="N40" s="809">
        <f ca="1">N44+N59+N72+N94+N125+N139+N157+N173+N186+N266+N282+N303+N320+N333+N356</f>
        <v>596706.98</v>
      </c>
      <c r="O40" s="809">
        <f ca="1">IF(L40&gt;0,N40*100/L40,0)</f>
        <v>32.12644653461615</v>
      </c>
      <c r="P40" s="809">
        <f ca="1">IF(M40&gt;0,N40*100/M40,0)</f>
        <v>39.315753131321117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275600</v>
      </c>
      <c r="M44" s="794">
        <f ca="1">M45+M46</f>
        <v>284600</v>
      </c>
      <c r="N44" s="794">
        <f ca="1">N45+N46</f>
        <v>150506</v>
      </c>
      <c r="O44" s="794">
        <f ca="1">IF(L44&gt;0,N44*100/L44,0)</f>
        <v>54.610304789550071</v>
      </c>
      <c r="P44" s="794">
        <f ca="1">IF(M44&gt;0,N44*100/M44,0)</f>
        <v>52.883345045678148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275600</v>
      </c>
      <c r="M46" s="783">
        <f ca="1">M49+M52</f>
        <v>284600</v>
      </c>
      <c r="N46" s="783">
        <f ca="1">N49+N52</f>
        <v>150506</v>
      </c>
      <c r="O46" s="783">
        <f ca="1">IF(L46&gt;0,N46*100/L46,0)</f>
        <v>54.610304789550071</v>
      </c>
      <c r="P46" s="783">
        <f ca="1">IF(M46&gt;0,N46*100/M46,0)</f>
        <v>52.883345045678148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275600</v>
      </c>
      <c r="M47" s="425">
        <f ca="1">M48+M49</f>
        <v>284600</v>
      </c>
      <c r="N47" s="425">
        <f ca="1">N48+N49</f>
        <v>150506</v>
      </c>
      <c r="O47" s="425">
        <f ca="1">IF(L47&gt;0,N47*100/L47,0)</f>
        <v>54.610304789550071</v>
      </c>
      <c r="P47" s="425">
        <f ca="1">IF(M47&gt;0,N47*100/M47,0)</f>
        <v>52.883345045678148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IFERROR(__xludf.DUMMYFUNCTION("IMPORTRANGE(""https://docs.google.com/spreadsheets/d/1-uDff_7J0KD5mKrp0Vvzr7lt3OU09vwQwhkpOPPYv2Y/edit?usp=sharing"",""งบพรบ!P17"")"),275600)</f>
        <v>275600</v>
      </c>
      <c r="M49" s="425">
        <f ca="1">IFERROR(__xludf.DUMMYFUNCTION("IMPORTRANGE(""https://docs.google.com/spreadsheets/d/1-uDff_7J0KD5mKrp0Vvzr7lt3OU09vwQwhkpOPPYv2Y/edit?usp=sharing"",""งบพรบ!V17"")"),284600)</f>
        <v>284600</v>
      </c>
      <c r="N49" s="425">
        <f ca="1">IFERROR(__xludf.DUMMYFUNCTION("IMPORTRANGE(""https://docs.google.com/spreadsheets/d/1-uDff_7J0KD5mKrp0Vvzr7lt3OU09vwQwhkpOPPYv2Y/edit?usp=sharing"",""งบพรบ!Y17"")"),150506)</f>
        <v>150506</v>
      </c>
      <c r="O49" s="425">
        <f ca="1">IF(L49&gt;0,N49*100/L49,0)</f>
        <v>54.610304789550071</v>
      </c>
      <c r="P49" s="425">
        <f ca="1">IF(M49&gt;0,N49*100/M49,0)</f>
        <v>52.883345045678148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IFERROR(__xludf.DUMMYFUNCTION("IMPORTRANGE(""https://docs.google.com/spreadsheets/d/1-uDff_7J0KD5mKrp0Vvzr7lt3OU09vwQwhkpOPPYv2Y/edit?usp=sharing"",""งบพรบ!S17"")"),0)</f>
        <v>0</v>
      </c>
      <c r="M52" s="425">
        <f ca="1">IFERROR(__xludf.DUMMYFUNCTION("IMPORTRANGE(""https://docs.google.com/spreadsheets/d/1-uDff_7J0KD5mKrp0Vvzr7lt3OU09vwQwhkpOPPYv2Y/edit?usp=sharing"",""งบพรบ!W17"")"),0)</f>
        <v>0</v>
      </c>
      <c r="N52" s="425">
        <f ca="1">IFERROR(__xludf.DUMMYFUNCTION("IMPORTRANGE(""https://docs.google.com/spreadsheets/d/1-uDff_7J0KD5mKrp0Vvzr7lt3OU09vwQwhkpOPPYv2Y/edit?usp=sharing"",""งบพรบ!Z17"")"),0)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472900</v>
      </c>
      <c r="M59" s="763">
        <f ca="1">M60+M61</f>
        <v>356750</v>
      </c>
      <c r="N59" s="763">
        <f ca="1">N60+N61</f>
        <v>215577.98</v>
      </c>
      <c r="O59" s="763">
        <f ca="1">IF(L59&gt;0,N59*100/L59,0)</f>
        <v>45.586377669697612</v>
      </c>
      <c r="P59" s="763">
        <f ca="1">IF(M59&gt;0,N59*100/M59,0)</f>
        <v>60.428305536089695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472900</v>
      </c>
      <c r="M61" s="752">
        <f ca="1">M64+M67</f>
        <v>356750</v>
      </c>
      <c r="N61" s="752">
        <f ca="1">N64+N67</f>
        <v>215577.98</v>
      </c>
      <c r="O61" s="752">
        <f ca="1">IF(L61&gt;0,N61*100/L61,0)</f>
        <v>45.586377669697612</v>
      </c>
      <c r="P61" s="752">
        <f ca="1">IF(M61&gt;0,N61*100/M61,0)</f>
        <v>60.428305536089695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472900</v>
      </c>
      <c r="M62" s="425">
        <f ca="1">M63+M64</f>
        <v>356750</v>
      </c>
      <c r="N62" s="425">
        <f ca="1">N63+N64</f>
        <v>215577.98</v>
      </c>
      <c r="O62" s="425">
        <f ca="1">IF(L62&gt;0,N62*100/L62,0)</f>
        <v>45.586377669697612</v>
      </c>
      <c r="P62" s="425">
        <f ca="1">IF(M62&gt;0,N62*100/M62,0)</f>
        <v>60.428305536089695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IFERROR(__xludf.DUMMYFUNCTION("IMPORTRANGE(""https://docs.google.com/spreadsheets/d/1-uDff_7J0KD5mKrp0Vvzr7lt3OU09vwQwhkpOPPYv2Y/edit?usp=sharing"",""งบพรบ!AC17"")"),472900)</f>
        <v>472900</v>
      </c>
      <c r="M64" s="425">
        <f ca="1">IFERROR(__xludf.DUMMYFUNCTION("IMPORTRANGE(""https://docs.google.com/spreadsheets/d/1-uDff_7J0KD5mKrp0Vvzr7lt3OU09vwQwhkpOPPYv2Y/edit?usp=sharing"",""งบพรบ!AH17"")"),356750)</f>
        <v>356750</v>
      </c>
      <c r="N64" s="425">
        <f ca="1">IFERROR(__xludf.DUMMYFUNCTION("IMPORTRANGE(""https://docs.google.com/spreadsheets/d/1-uDff_7J0KD5mKrp0Vvzr7lt3OU09vwQwhkpOPPYv2Y/edit?usp=sharing"",""งบพรบ!AJ17"")"),215577.98)</f>
        <v>215577.98</v>
      </c>
      <c r="O64" s="425">
        <f ca="1">IF(L64&gt;0,N64*100/L64,0)</f>
        <v>45.586377669697612</v>
      </c>
      <c r="P64" s="425">
        <f ca="1">IF(M64&gt;0,N64*100/M64,0)</f>
        <v>60.428305536089695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IFERROR(__xludf.DUMMYFUNCTION("IMPORTRANGE(""https://docs.google.com/spreadsheets/d/1-uDff_7J0KD5mKrp0Vvzr7lt3OU09vwQwhkpOPPYv2Y/edit?usp=sharing"",""งบพรบ!AF17"")"),0)</f>
        <v>0</v>
      </c>
      <c r="M67" s="747">
        <f ca="1">IFERROR(__xludf.DUMMYFUNCTION("IMPORTRANGE(""https://docs.google.com/spreadsheets/d/1-uDff_7J0KD5mKrp0Vvzr7lt3OU09vwQwhkpOPPYv2Y/edit?usp=sharing"",""งบพรบ!AI17"")"),0)</f>
        <v>0</v>
      </c>
      <c r="N67" s="747">
        <f ca="1">IFERROR(__xludf.DUMMYFUNCTION("IMPORTRANGE(""https://docs.google.com/spreadsheets/d/1-uDff_7J0KD5mKrp0Vvzr7lt3OU09vwQwhkpOPPYv2Y/edit?usp=sharing"",""งบพรบ!AK17"")"),0)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IFERROR(__xludf.DUMMYFUNCTION("IMPORTRANGE(""https://docs.google.com/spreadsheets/d/1-uDff_7J0KD5mKrp0Vvzr7lt3OU09vwQwhkpOPPYv2Y/edit?usp=sharing"",""งบพรบ!AM17"")"),0)</f>
        <v>0</v>
      </c>
      <c r="M77" s="425">
        <f ca="1">IFERROR(__xludf.DUMMYFUNCTION("IMPORTRANGE(""https://docs.google.com/spreadsheets/d/1-uDff_7J0KD5mKrp0Vvzr7lt3OU09vwQwhkpOPPYv2Y/edit?usp=sharing"",""งบพรบ!AR17"")"),0)</f>
        <v>0</v>
      </c>
      <c r="N77" s="425">
        <f ca="1">IFERROR(__xludf.DUMMYFUNCTION("IMPORTRANGE(""https://docs.google.com/spreadsheets/d/1-uDff_7J0KD5mKrp0Vvzr7lt3OU09vwQwhkpOPPYv2Y/edit?usp=sharing"",""งบพรบ!AT17"")"),0)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IFERROR(__xludf.DUMMYFUNCTION("IMPORTRANGE(""https://docs.google.com/spreadsheets/d/1-uDff_7J0KD5mKrp0Vvzr7lt3OU09vwQwhkpOPPYv2Y/edit?usp=sharing"",""งบพรบ!AP17"")"),0)</f>
        <v>0</v>
      </c>
      <c r="M80" s="425">
        <f ca="1">IFERROR(__xludf.DUMMYFUNCTION("IMPORTRANGE(""https://docs.google.com/spreadsheets/d/1-uDff_7J0KD5mKrp0Vvzr7lt3OU09vwQwhkpOPPYv2Y/edit?usp=sharing"",""งบพรบ!AS17"")"),0)</f>
        <v>0</v>
      </c>
      <c r="N80" s="425">
        <f ca="1">IFERROR(__xludf.DUMMYFUNCTION("IMPORTRANGE(""https://docs.google.com/spreadsheets/d/1-uDff_7J0KD5mKrp0Vvzr7lt3OU09vwQwhkpOPPYv2Y/edit?usp=sharing"",""งบพรบ!AU17"")"),0)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IFERROR(__xludf.DUMMYFUNCTION("IMPORTRANGE(""https://docs.google.com/spreadsheets/d/1eHaY18a8A9IcSdp1K8H6x8fbOy06t2VsZHhMHf-1x7Y/edit?usp=sharing"",""แผน!H17"")"),0)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IFERROR(__xludf.DUMMYFUNCTION("IMPORTRANGE(""https://docs.google.com/spreadsheets/d/1eHaY18a8A9IcSdp1K8H6x8fbOy06t2VsZHhMHf-1x7Y/edit?usp=sharing"",""แผน!I17"")"),0)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IFERROR(__xludf.DUMMYFUNCTION("IMPORTRANGE(""https://docs.google.com/spreadsheets/d/1eHaY18a8A9IcSdp1K8H6x8fbOy06t2VsZHhMHf-1x7Y/edit?usp=sharing"",""แผน!F17"")"),0)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IFERROR(__xludf.DUMMYFUNCTION("IMPORTRANGE(""https://docs.google.com/spreadsheets/d/1eHaY18a8A9IcSdp1K8H6x8fbOy06t2VsZHhMHf-1x7Y/edit?usp=sharing"",""แผน!G17"")"),0)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IFERROR(__xludf.DUMMYFUNCTION("IMPORTRANGE(""https://docs.google.com/spreadsheets/d/1eHaY18a8A9IcSdp1K8H6x8fbOy06t2VsZHhMHf-1x7Y/edit?usp=sharing"",""แผน!D17"")"),0)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IFERROR(__xludf.DUMMYFUNCTION("IMPORTRANGE(""https://docs.google.com/spreadsheets/d/1eHaY18a8A9IcSdp1K8H6x8fbOy06t2VsZHhMHf-1x7Y/edit?usp=sharing"",""แผน!E17"")"),0)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IFERROR(__xludf.DUMMYFUNCTION("IMPORTRANGE(""https://docs.google.com/spreadsheets/d/1eHaY18a8A9IcSdp1K8H6x8fbOy06t2VsZHhMHf-1x7Y/edit?usp=sharing"",""แผน!J17"")"),0)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IFERROR(__xludf.DUMMYFUNCTION("IMPORTRANGE(""https://docs.google.com/spreadsheets/d/1-uDff_7J0KD5mKrp0Vvzr7lt3OU09vwQwhkpOPPYv2Y/edit?usp=sharing"",""งบพรบ!AW17"")"),0)</f>
        <v>0</v>
      </c>
      <c r="M99" s="425">
        <f ca="1">IFERROR(__xludf.DUMMYFUNCTION("IMPORTRANGE(""https://docs.google.com/spreadsheets/d/1-uDff_7J0KD5mKrp0Vvzr7lt3OU09vwQwhkpOPPYv2Y/edit?usp=sharing"",""งบพรบ!BB17"")"),0)</f>
        <v>0</v>
      </c>
      <c r="N99" s="425">
        <f ca="1">IFERROR(__xludf.DUMMYFUNCTION("IMPORTRANGE(""https://docs.google.com/spreadsheets/d/1-uDff_7J0KD5mKrp0Vvzr7lt3OU09vwQwhkpOPPYv2Y/edit?usp=sharing"",""งบพรบ!BD17"")"),0)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IFERROR(__xludf.DUMMYFUNCTION("IMPORTRANGE(""https://docs.google.com/spreadsheets/d/1-uDff_7J0KD5mKrp0Vvzr7lt3OU09vwQwhkpOPPYv2Y/edit?usp=sharing"",""งบพรบ!AZ17"")"),0)</f>
        <v>0</v>
      </c>
      <c r="M102" s="425">
        <f ca="1">IFERROR(__xludf.DUMMYFUNCTION("IMPORTRANGE(""https://docs.google.com/spreadsheets/d/1-uDff_7J0KD5mKrp0Vvzr7lt3OU09vwQwhkpOPPYv2Y/edit?usp=sharing"",""งบพรบ!BC17"")"),0)</f>
        <v>0</v>
      </c>
      <c r="N102" s="425">
        <f ca="1">IFERROR(__xludf.DUMMYFUNCTION("IMPORTRANGE(""https://docs.google.com/spreadsheets/d/1-uDff_7J0KD5mKrp0Vvzr7lt3OU09vwQwhkpOPPYv2Y/edit?usp=sharing"",""งบพรบ!BE17"")"),0)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IFERROR(__xludf.DUMMYFUNCTION("IMPORTRANGE(""https://docs.google.com/spreadsheets/d/1eHaY18a8A9IcSdp1K8H6x8fbOy06t2VsZHhMHf-1x7Y/edit?usp=sharing"",""แผน!N17"")"),0)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IFERROR(__xludf.DUMMYFUNCTION("IMPORTRANGE(""https://docs.google.com/spreadsheets/d/1eHaY18a8A9IcSdp1K8H6x8fbOy06t2VsZHhMHf-1x7Y/edit?usp=sharing"",""แผน!O17"")"),0)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IFERROR(__xludf.DUMMYFUNCTION("IMPORTRANGE(""https://docs.google.com/spreadsheets/d/1eHaY18a8A9IcSdp1K8H6x8fbOy06t2VsZHhMHf-1x7Y/edit?usp=sharing"",""แผน!R17"")"),0)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IFERROR(__xludf.DUMMYFUNCTION("IMPORTRANGE(""https://docs.google.com/spreadsheets/d/1-uDff_7J0KD5mKrp0Vvzr7lt3OU09vwQwhkpOPPYv2Y/edit?usp=sharing"",""งบพรบ!BG17"")"),0)</f>
        <v>0</v>
      </c>
      <c r="M130" s="723">
        <f ca="1">IFERROR(__xludf.DUMMYFUNCTION("IMPORTRANGE(""https://docs.google.com/spreadsheets/d/1-uDff_7J0KD5mKrp0Vvzr7lt3OU09vwQwhkpOPPYv2Y/edit?usp=sharing"",""งบพรบ!BL17"")"),0)</f>
        <v>0</v>
      </c>
      <c r="N130" s="723">
        <f ca="1">IFERROR(__xludf.DUMMYFUNCTION("IMPORTRANGE(""https://docs.google.com/spreadsheets/d/1-uDff_7J0KD5mKrp0Vvzr7lt3OU09vwQwhkpOPPYv2Y/edit?usp=sharing"",""งบพรบ!BN17"")"),0)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IFERROR(__xludf.DUMMYFUNCTION("IMPORTRANGE(""https://docs.google.com/spreadsheets/d/1-uDff_7J0KD5mKrp0Vvzr7lt3OU09vwQwhkpOPPYv2Y/edit?usp=sharing"",""งบพรบ!BJ17"")"),0)</f>
        <v>0</v>
      </c>
      <c r="M133" s="723">
        <f ca="1">IFERROR(__xludf.DUMMYFUNCTION("IMPORTRANGE(""https://docs.google.com/spreadsheets/d/1-uDff_7J0KD5mKrp0Vvzr7lt3OU09vwQwhkpOPPYv2Y/edit?usp=sharing"",""งบพรบ!BM17"")"),0)</f>
        <v>0</v>
      </c>
      <c r="N133" s="723">
        <f ca="1">IFERROR(__xludf.DUMMYFUNCTION("IMPORTRANGE(""https://docs.google.com/spreadsheets/d/1-uDff_7J0KD5mKrp0Vvzr7lt3OU09vwQwhkpOPPYv2Y/edit?usp=sharing"",""งบพรบ!BO17"")"),0)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20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2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115700</v>
      </c>
      <c r="M139" s="577">
        <f ca="1">M140+M141</f>
        <v>87100</v>
      </c>
      <c r="N139" s="577">
        <f ca="1">N140+N141</f>
        <v>48970</v>
      </c>
      <c r="O139" s="577">
        <f ca="1">IF(L139&gt;0,N139*100/L139,0)</f>
        <v>42.324978392394122</v>
      </c>
      <c r="P139" s="577">
        <f ca="1">IF(M139&gt;0,N139*100/M139,0)</f>
        <v>56.222732491389209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115700</v>
      </c>
      <c r="M141" s="425">
        <f ca="1">M144+M147</f>
        <v>87100</v>
      </c>
      <c r="N141" s="425">
        <f ca="1">N144+N147</f>
        <v>48970</v>
      </c>
      <c r="O141" s="425">
        <f ca="1">IF(L141&gt;0,N141*100/L141,0)</f>
        <v>42.324978392394122</v>
      </c>
      <c r="P141" s="425">
        <f ca="1">IF(M141&gt;0,N141*100/M141,0)</f>
        <v>56.222732491389209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115700</v>
      </c>
      <c r="M142" s="425">
        <f ca="1">M143+M144</f>
        <v>87100</v>
      </c>
      <c r="N142" s="425">
        <f ca="1">N143+N144</f>
        <v>48970</v>
      </c>
      <c r="O142" s="425">
        <f ca="1">IF(L142&gt;0,N142*100/L142,0)</f>
        <v>42.324978392394122</v>
      </c>
      <c r="P142" s="425">
        <f ca="1">IF(M142&gt;0,N142*100/M142,0)</f>
        <v>56.222732491389209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IFERROR(__xludf.DUMMYFUNCTION("IMPORTRANGE(""https://docs.google.com/spreadsheets/d/1-uDff_7J0KD5mKrp0Vvzr7lt3OU09vwQwhkpOPPYv2Y/edit?usp=sharing"",""งบพรบ!BQ17"")"),115700)</f>
        <v>115700</v>
      </c>
      <c r="M144" s="425">
        <f ca="1">IFERROR(__xludf.DUMMYFUNCTION("IMPORTRANGE(""https://docs.google.com/spreadsheets/d/1-uDff_7J0KD5mKrp0Vvzr7lt3OU09vwQwhkpOPPYv2Y/edit?usp=sharing"",""งบพรบ!BV17"")"),87100)</f>
        <v>87100</v>
      </c>
      <c r="N144" s="425">
        <f ca="1">IFERROR(__xludf.DUMMYFUNCTION("IMPORTRANGE(""https://docs.google.com/spreadsheets/d/1-uDff_7J0KD5mKrp0Vvzr7lt3OU09vwQwhkpOPPYv2Y/edit?usp=sharing"",""งบพรบ!BX17"")"),48970)</f>
        <v>48970</v>
      </c>
      <c r="O144" s="425">
        <f ca="1">IF(L144&gt;0,N144*100/L144,0)</f>
        <v>42.324978392394122</v>
      </c>
      <c r="P144" s="425">
        <f ca="1">IF(M144&gt;0,N144*100/M144,0)</f>
        <v>56.222732491389209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IFERROR(__xludf.DUMMYFUNCTION("IMPORTRANGE(""https://docs.google.com/spreadsheets/d/1-uDff_7J0KD5mKrp0Vvzr7lt3OU09vwQwhkpOPPYv2Y/edit?usp=sharing"",""งบพรบ!BT17"")"),0)</f>
        <v>0</v>
      </c>
      <c r="M147" s="425">
        <f ca="1">IFERROR(__xludf.DUMMYFUNCTION("IMPORTRANGE(""https://docs.google.com/spreadsheets/d/1-uDff_7J0KD5mKrp0Vvzr7lt3OU09vwQwhkpOPPYv2Y/edit?usp=sharing"",""งบพรบ!BW17"")"),0)</f>
        <v>0</v>
      </c>
      <c r="N147" s="425">
        <f ca="1">IFERROR(__xludf.DUMMYFUNCTION("IMPORTRANGE(""https://docs.google.com/spreadsheets/d/1-uDff_7J0KD5mKrp0Vvzr7lt3OU09vwQwhkpOPPYv2Y/edit?usp=sharing"",""งบพรบ!BY17"")"),0)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IFERROR(__xludf.DUMMYFUNCTION("IMPORTRANGE(""https://docs.google.com/spreadsheets/d/1eHaY18a8A9IcSdp1K8H6x8fbOy06t2VsZHhMHf-1x7Y/edit?usp=sharing"",""แผน!U17"")"),0)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IFERROR(__xludf.DUMMYFUNCTION("IMPORTRANGE(""https://docs.google.com/spreadsheets/d/1eHaY18a8A9IcSdp1K8H6x8fbOy06t2VsZHhMHf-1x7Y/edit?usp=sharing"",""แผน!V17"")"),0)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IFERROR(__xludf.DUMMYFUNCTION("IMPORTRANGE(""https://docs.google.com/spreadsheets/d/1eHaY18a8A9IcSdp1K8H6x8fbOy06t2VsZHhMHf-1x7Y/edit?usp=sharing"",""แผน!W17"")"),20)</f>
        <v>20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IFERROR(__xludf.DUMMYFUNCTION("IMPORTRANGE(""https://docs.google.com/spreadsheets/d/1eHaY18a8A9IcSdp1K8H6x8fbOy06t2VsZHhMHf-1x7Y/edit?usp=sharing"",""แผน!X17"")"),2)</f>
        <v>2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IFERROR(__xludf.DUMMYFUNCTION("IMPORTRANGE(""https://docs.google.com/spreadsheets/d/1eHaY18a8A9IcSdp1K8H6x8fbOy06t2VsZHhMHf-1x7Y/edit?usp=sharing"",""แผน!Y17"")"),0)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3000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IFERROR(__xludf.DUMMYFUNCTION("IMPORTRANGE(""https://docs.google.com/spreadsheets/d/1-uDff_7J0KD5mKrp0Vvzr7lt3OU09vwQwhkpOPPYv2Y/edit?usp=sharing"",""งบพรบ!CA17"")"),3000)</f>
        <v>3000</v>
      </c>
      <c r="M162" s="425">
        <f ca="1">IFERROR(__xludf.DUMMYFUNCTION("IMPORTRANGE(""https://docs.google.com/spreadsheets/d/1-uDff_7J0KD5mKrp0Vvzr7lt3OU09vwQwhkpOPPYv2Y/edit?usp=sharing"",""งบพรบ!CF17"")"),0)</f>
        <v>0</v>
      </c>
      <c r="N162" s="425">
        <f ca="1">IFERROR(__xludf.DUMMYFUNCTION("IMPORTRANGE(""https://docs.google.com/spreadsheets/d/1-uDff_7J0KD5mKrp0Vvzr7lt3OU09vwQwhkpOPPYv2Y/edit?usp=sharing"",""งบพรบ!CH17"")"),0)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IFERROR(__xludf.DUMMYFUNCTION("IMPORTRANGE(""https://docs.google.com/spreadsheets/d/1-uDff_7J0KD5mKrp0Vvzr7lt3OU09vwQwhkpOPPYv2Y/edit?usp=sharing"",""งบพรบ!CD17"")"),0)</f>
        <v>0</v>
      </c>
      <c r="M165" s="425">
        <f ca="1">IFERROR(__xludf.DUMMYFUNCTION("IMPORTRANGE(""https://docs.google.com/spreadsheets/d/1-uDff_7J0KD5mKrp0Vvzr7lt3OU09vwQwhkpOPPYv2Y/edit?usp=sharing"",""งบพรบ!CG17"")"),0)</f>
        <v>0</v>
      </c>
      <c r="N165" s="425">
        <f ca="1">IFERROR(__xludf.DUMMYFUNCTION("IMPORTRANGE(""https://docs.google.com/spreadsheets/d/1-uDff_7J0KD5mKrp0Vvzr7lt3OU09vwQwhkpOPPYv2Y/edit?usp=sharing"",""งบพรบ!CI17"")"),0)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IFERROR(__xludf.DUMMYFUNCTION("IMPORTRANGE(""https://docs.google.com/spreadsheets/d/1eHaY18a8A9IcSdp1K8H6x8fbOy06t2VsZHhMHf-1x7Y/edit?usp=sharing"",""แผน!Z17"")"),10)</f>
        <v>10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19590</v>
      </c>
      <c r="O173" s="577">
        <f ca="1">IF(L173&gt;0,N173*100/L173,0)</f>
        <v>100</v>
      </c>
      <c r="P173" s="577">
        <f ca="1">IF(M173&gt;0,N173*100/M173,0)</f>
        <v>100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19590</v>
      </c>
      <c r="O175" s="425">
        <f ca="1">IF(L175&gt;0,N175*100/L175,0)</f>
        <v>100</v>
      </c>
      <c r="P175" s="425">
        <f ca="1">IF(M175&gt;0,N175*100/M175,0)</f>
        <v>100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19590</v>
      </c>
      <c r="O176" s="425">
        <f ca="1">IF(L176&gt;0,N176*100/L176,0)</f>
        <v>100</v>
      </c>
      <c r="P176" s="425">
        <f ca="1">IF(M176&gt;0,N176*100/M176,0)</f>
        <v>100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IFERROR(__xludf.DUMMYFUNCTION("IMPORTRANGE(""https://docs.google.com/spreadsheets/d/1-uDff_7J0KD5mKrp0Vvzr7lt3OU09vwQwhkpOPPYv2Y/edit?usp=sharing"",""งบพรบ!CK17"")"),19590)</f>
        <v>19590</v>
      </c>
      <c r="M178" s="425">
        <f ca="1">IFERROR(__xludf.DUMMYFUNCTION("IMPORTRANGE(""https://docs.google.com/spreadsheets/d/1-uDff_7J0KD5mKrp0Vvzr7lt3OU09vwQwhkpOPPYv2Y/edit?usp=sharing"",""งบพรบ!CP17"")"),19590)</f>
        <v>19590</v>
      </c>
      <c r="N178" s="425">
        <f ca="1">IFERROR(__xludf.DUMMYFUNCTION("IMPORTRANGE(""https://docs.google.com/spreadsheets/d/1-uDff_7J0KD5mKrp0Vvzr7lt3OU09vwQwhkpOPPYv2Y/edit?usp=sharing"",""งบพรบ!CR17"")"),19590)</f>
        <v>19590</v>
      </c>
      <c r="O178" s="425">
        <f ca="1">IF(L178&gt;0,N178*100/L178,0)</f>
        <v>100</v>
      </c>
      <c r="P178" s="425">
        <f ca="1">IF(M178&gt;0,N178*100/M178,0)</f>
        <v>100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IFERROR(__xludf.DUMMYFUNCTION("IMPORTRANGE(""https://docs.google.com/spreadsheets/d/1-uDff_7J0KD5mKrp0Vvzr7lt3OU09vwQwhkpOPPYv2Y/edit?usp=sharing"",""งบพรบ!CN17"")"),0)</f>
        <v>0</v>
      </c>
      <c r="M181" s="425">
        <f ca="1">IFERROR(__xludf.DUMMYFUNCTION("IMPORTRANGE(""https://docs.google.com/spreadsheets/d/1-uDff_7J0KD5mKrp0Vvzr7lt3OU09vwQwhkpOPPYv2Y/edit?usp=sharing"",""งบพรบ!CQ17"")"),0)</f>
        <v>0</v>
      </c>
      <c r="N181" s="425">
        <f ca="1">IFERROR(__xludf.DUMMYFUNCTION("IMPORTRANGE(""https://docs.google.com/spreadsheets/d/1-uDff_7J0KD5mKrp0Vvzr7lt3OU09vwQwhkpOPPYv2Y/edit?usp=sharing"",""งบพรบ!CS17"")"),0)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IFERROR(__xludf.DUMMYFUNCTION("IMPORTRANGE(""https://docs.google.com/spreadsheets/d/1eHaY18a8A9IcSdp1K8H6x8fbOy06t2VsZHhMHf-1x7Y/edit?usp=sharing"",""แผน!AA17"")"),7)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214500</v>
      </c>
      <c r="M186" s="577">
        <f ca="1">M187+M188</f>
        <v>143500</v>
      </c>
      <c r="N186" s="577">
        <f ca="1">N187+N188</f>
        <v>33880</v>
      </c>
      <c r="O186" s="577">
        <f ca="1">IF(L186&gt;0,N186*100/L186,0)</f>
        <v>15.794871794871796</v>
      </c>
      <c r="P186" s="577">
        <f ca="1">IF(M186&gt;0,N186*100/M186,0)</f>
        <v>23.609756097560975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214500</v>
      </c>
      <c r="M188" s="425">
        <f ca="1">M191+M194</f>
        <v>143500</v>
      </c>
      <c r="N188" s="425">
        <f ca="1">N191+N194</f>
        <v>33880</v>
      </c>
      <c r="O188" s="425">
        <f ca="1">IF(L188&gt;0,N188*100/L188,0)</f>
        <v>15.794871794871796</v>
      </c>
      <c r="P188" s="425">
        <f ca="1">IF(M188&gt;0,N188*100/M188,0)</f>
        <v>23.609756097560975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214500</v>
      </c>
      <c r="M189" s="425">
        <f ca="1">M190+M191</f>
        <v>143500</v>
      </c>
      <c r="N189" s="425">
        <f ca="1">N190+N191</f>
        <v>33880</v>
      </c>
      <c r="O189" s="425">
        <f ca="1">IF(L189&gt;0,N189*100/L189,0)</f>
        <v>15.794871794871796</v>
      </c>
      <c r="P189" s="425">
        <f ca="1">IF(M189&gt;0,N189*100/M189,0)</f>
        <v>23.609756097560975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IFERROR(__xludf.DUMMYFUNCTION("IMPORTRANGE(""https://docs.google.com/spreadsheets/d/1-uDff_7J0KD5mKrp0Vvzr7lt3OU09vwQwhkpOPPYv2Y/edit?usp=sharing"",""งบพรบ!CU17"")"),214500)</f>
        <v>214500</v>
      </c>
      <c r="M191" s="425">
        <f ca="1">IFERROR(__xludf.DUMMYFUNCTION("IMPORTRANGE(""https://docs.google.com/spreadsheets/d/1-uDff_7J0KD5mKrp0Vvzr7lt3OU09vwQwhkpOPPYv2Y/edit?usp=sharing"",""งบพรบ!CZ17"")"),143500)</f>
        <v>143500</v>
      </c>
      <c r="N191" s="425">
        <f ca="1">IFERROR(__xludf.DUMMYFUNCTION("IMPORTRANGE(""https://docs.google.com/spreadsheets/d/1-uDff_7J0KD5mKrp0Vvzr7lt3OU09vwQwhkpOPPYv2Y/edit?usp=sharing"",""งบพรบ!DB17"")"),33880)</f>
        <v>33880</v>
      </c>
      <c r="O191" s="425">
        <f ca="1">IF(L191&gt;0,N191*100/L191,0)</f>
        <v>15.794871794871796</v>
      </c>
      <c r="P191" s="425">
        <f ca="1">IF(M191&gt;0,N191*100/M191,0)</f>
        <v>23.609756097560975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IFERROR(__xludf.DUMMYFUNCTION("IMPORTRANGE(""https://docs.google.com/spreadsheets/d/1-uDff_7J0KD5mKrp0Vvzr7lt3OU09vwQwhkpOPPYv2Y/edit?usp=sharing"",""งบพรบ!CX17"")"),0)</f>
        <v>0</v>
      </c>
      <c r="M194" s="425">
        <f ca="1">IFERROR(__xludf.DUMMYFUNCTION("IMPORTRANGE(""https://docs.google.com/spreadsheets/d/1-uDff_7J0KD5mKrp0Vvzr7lt3OU09vwQwhkpOPPYv2Y/edit?usp=sharing"",""งบพรบ!DA17"")"),0)</f>
        <v>0</v>
      </c>
      <c r="N194" s="425">
        <f ca="1">IFERROR(__xludf.DUMMYFUNCTION("IMPORTRANGE(""https://docs.google.com/spreadsheets/d/1-uDff_7J0KD5mKrp0Vvzr7lt3OU09vwQwhkpOPPYv2Y/edit?usp=sharing"",""งบพรบ!DC17"")"),0)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IFERROR(__xludf.DUMMYFUNCTION("IMPORTRANGE(""https://docs.google.com/spreadsheets/d/1eHaY18a8A9IcSdp1K8H6x8fbOy06t2VsZHhMHf-1x7Y/edit?usp=sharing"",""แผน!AB17"")"),6000)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IFERROR(__xludf.DUMMYFUNCTION("IMPORTRANGE(""https://docs.google.com/spreadsheets/d/1eHaY18a8A9IcSdp1K8H6x8fbOy06t2VsZHhMHf-1x7Y/edit?usp=sharing"",""แผน!AE17"")"),4)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1</v>
      </c>
      <c r="J202" s="438">
        <f>J209</f>
        <v>1</v>
      </c>
      <c r="K202" s="439">
        <f ca="1">IF(I202&gt;0,J202*100/I202,0)</f>
        <v>100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18000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IFERROR(__xludf.DUMMYFUNCTION("IMPORTRANGE(""https://docs.google.com/spreadsheets/d/1eHaY18a8A9IcSdp1K8H6x8fbOy06t2VsZHhMHf-1x7Y/edit?usp=sharing"",""แผน!AG17"")"),1000)</f>
        <v>1000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IFERROR(__xludf.DUMMYFUNCTION("IMPORTRANGE(""https://docs.google.com/spreadsheets/d/1eHaY18a8A9IcSdp1K8H6x8fbOy06t2VsZHhMHf-1x7Y/edit?usp=sharing"",""แผน!AH17"")"),0)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IFERROR(__xludf.DUMMYFUNCTION("IMPORTRANGE(""https://docs.google.com/spreadsheets/d/1eHaY18a8A9IcSdp1K8H6x8fbOy06t2VsZHhMHf-1x7Y/edit?usp=sharing"",""แผน!AI17"")"),8000)</f>
        <v>8000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IFERROR(__xludf.DUMMYFUNCTION("IMPORTRANGE(""https://docs.google.com/spreadsheets/d/1eHaY18a8A9IcSdp1K8H6x8fbOy06t2VsZHhMHf-1x7Y/edit?usp=sharing"",""แผน!AJ17"")"),9000)</f>
        <v>9000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IFERROR(__xludf.DUMMYFUNCTION("IMPORTRANGE(""https://docs.google.com/spreadsheets/d/1eHaY18a8A9IcSdp1K8H6x8fbOy06t2VsZHhMHf-1x7Y/edit?usp=sharing"",""แผน!AK17"")"),1)</f>
        <v>1</v>
      </c>
      <c r="J209" s="595">
        <v>1</v>
      </c>
      <c r="K209" s="621">
        <f ca="1">IF(I209&gt;0,J209*100/I209,0)</f>
        <v>100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IFERROR(__xludf.DUMMYFUNCTION("IMPORTRANGE(""https://docs.google.com/spreadsheets/d/1eHaY18a8A9IcSdp1K8H6x8fbOy06t2VsZHhMHf-1x7Y/edit?usp=sharing"",""แผน!JX17"")"),1)</f>
        <v>1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IFERROR(__xludf.DUMMYFUNCTION("IMPORTRANGE(""https://docs.google.com/spreadsheets/d/1eHaY18a8A9IcSdp1K8H6x8fbOy06t2VsZHhMHf-1x7Y/edit?usp=sharing"",""แผน!JY17"")"),1)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IFERROR(__xludf.DUMMYFUNCTION("IMPORTRANGE(""https://docs.google.com/spreadsheets/d/1eHaY18a8A9IcSdp1K8H6x8fbOy06t2VsZHhMHf-1x7Y/edit?usp=sharing"",""แผน!AM17"")"),0)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IFERROR(__xludf.DUMMYFUNCTION("IMPORTRANGE(""https://docs.google.com/spreadsheets/d/1eHaY18a8A9IcSdp1K8H6x8fbOy06t2VsZHhMHf-1x7Y/edit?usp=sharing"",""แผน!AN17"")"),0)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IFERROR(__xludf.DUMMYFUNCTION("IMPORTRANGE(""https://docs.google.com/spreadsheets/d/1eHaY18a8A9IcSdp1K8H6x8fbOy06t2VsZHhMHf-1x7Y/edit?usp=sharing"",""แผน!AO17"")"),0)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IFERROR(__xludf.DUMMYFUNCTION("IMPORTRANGE(""https://docs.google.com/spreadsheets/d/1eHaY18a8A9IcSdp1K8H6x8fbOy06t2VsZHhMHf-1x7Y/edit?usp=sharing"",""แผน!AP17"")"),0)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IFERROR(__xludf.DUMMYFUNCTION("IMPORTRANGE(""https://docs.google.com/spreadsheets/d/1eHaY18a8A9IcSdp1K8H6x8fbOy06t2VsZHhMHf-1x7Y/edit?usp=sharing"",""แผน!AP17"")"),0)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8500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IFERROR(__xludf.DUMMYFUNCTION("IMPORTRANGE(""https://docs.google.com/spreadsheets/d/1eHaY18a8A9IcSdp1K8H6x8fbOy06t2VsZHhMHf-1x7Y/edit?usp=sharing"",""แผน!AR17"")"),7000)</f>
        <v>7000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IFERROR(__xludf.DUMMYFUNCTION("IMPORTRANGE(""https://docs.google.com/spreadsheets/d/1eHaY18a8A9IcSdp1K8H6x8fbOy06t2VsZHhMHf-1x7Y/edit?usp=sharing"",""แผน!AS17"")"),1500)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IFERROR(__xludf.DUMMYFUNCTION("IMPORTRANGE(""https://docs.google.com/spreadsheets/d/1eHaY18a8A9IcSdp1K8H6x8fbOy06t2VsZHhMHf-1x7Y/edit?usp=sharing"",""แผน!AT17"")"),0)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IFERROR(__xludf.DUMMYFUNCTION("IMPORTRANGE(""https://docs.google.com/spreadsheets/d/1eHaY18a8A9IcSdp1K8H6x8fbOy06t2VsZHhMHf-1x7Y/edit?usp=sharing"",""แผน!AV17"")"),50000)</f>
        <v>50000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IFERROR(__xludf.DUMMYFUNCTION("IMPORTRANGE(""https://docs.google.com/spreadsheets/d/1eHaY18a8A9IcSdp1K8H6x8fbOy06t2VsZHhMHf-1x7Y/edit?usp=sharing"",""แผน!AV17"")"),50000)</f>
        <v>50000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IFERROR(__xludf.DUMMYFUNCTION("IMPORTRANGE(""https://docs.google.com/spreadsheets/d/1eHaY18a8A9IcSdp1K8H6x8fbOy06t2VsZHhMHf-1x7Y/edit?usp=sharing"",""แผน!AU17"")"),0)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IFERROR(__xludf.DUMMYFUNCTION("IMPORTRANGE(""https://docs.google.com/spreadsheets/d/1eHaY18a8A9IcSdp1K8H6x8fbOy06t2VsZHhMHf-1x7Y/edit?usp=sharing"",""แผน!AX17"")"),0)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IFERROR(__xludf.DUMMYFUNCTION("IMPORTRANGE(""https://docs.google.com/spreadsheets/d/1eHaY18a8A9IcSdp1K8H6x8fbOy06t2VsZHhMHf-1x7Y/edit?usp=sharing"",""แผน!AY17"")"),0)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IFERROR(__xludf.DUMMYFUNCTION("IMPORTRANGE(""https://docs.google.com/spreadsheets/d/1eHaY18a8A9IcSdp1K8H6x8fbOy06t2VsZHhMHf-1x7Y/edit?usp=sharing"",""แผน!AZ17"")"),0)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IFERROR(__xludf.DUMMYFUNCTION("IMPORTRANGE(""https://docs.google.com/spreadsheets/d/1eHaY18a8A9IcSdp1K8H6x8fbOy06t2VsZHhMHf-1x7Y/edit?usp=sharing"",""แผน!BA17"")"),0)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IFERROR(__xludf.DUMMYFUNCTION("IMPORTRANGE(""https://docs.google.com/spreadsheets/d/1eHaY18a8A9IcSdp1K8H6x8fbOy06t2VsZHhMHf-1x7Y/edit?usp=sharing"",""แผน!BG17"")"),0)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IFERROR(__xludf.DUMMYFUNCTION("IMPORTRANGE(""https://docs.google.com/spreadsheets/d/1eHaY18a8A9IcSdp1K8H6x8fbOy06t2VsZHhMHf-1x7Y/edit?usp=sharing"",""แผน!BB17"")"),0)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IFERROR(__xludf.DUMMYFUNCTION("IMPORTRANGE(""https://docs.google.com/spreadsheets/d/1eHaY18a8A9IcSdp1K8H6x8fbOy06t2VsZHhMHf-1x7Y/edit?usp=sharing"",""แผน!BC17"")"),0)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IFERROR(__xludf.DUMMYFUNCTION("IMPORTRANGE(""https://docs.google.com/spreadsheets/d/1eHaY18a8A9IcSdp1K8H6x8fbOy06t2VsZHhMHf-1x7Y/edit?usp=sharing"",""แผน!BD17"")"),0)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IFERROR(__xludf.DUMMYFUNCTION("IMPORTRANGE(""https://docs.google.com/spreadsheets/d/1eHaY18a8A9IcSdp1K8H6x8fbOy06t2VsZHhMHf-1x7Y/edit?usp=sharing"",""แผน!BE17"")"),0)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IFERROR(__xludf.DUMMYFUNCTION("IMPORTRANGE(""https://docs.google.com/spreadsheets/d/1eHaY18a8A9IcSdp1K8H6x8fbOy06t2VsZHhMHf-1x7Y/edit?usp=sharing"",""แผน!BH17"")"),0)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IFERROR(__xludf.DUMMYFUNCTION("IMPORTRANGE(""https://docs.google.com/spreadsheets/d/1-uDff_7J0KD5mKrp0Vvzr7lt3OU09vwQwhkpOPPYv2Y/edit?usp=sharing"",""งบพรบ!DE17"")"),0)</f>
        <v>0</v>
      </c>
      <c r="M271" s="521">
        <f ca="1">IFERROR(__xludf.DUMMYFUNCTION("IMPORTRANGE(""https://docs.google.com/spreadsheets/d/1-uDff_7J0KD5mKrp0Vvzr7lt3OU09vwQwhkpOPPYv2Y/edit?usp=sharing"",""งบพรบ!DJ17"")"),0)</f>
        <v>0</v>
      </c>
      <c r="N271" s="521">
        <f ca="1">IFERROR(__xludf.DUMMYFUNCTION("IMPORTRANGE(""https://docs.google.com/spreadsheets/d/1-uDff_7J0KD5mKrp0Vvzr7lt3OU09vwQwhkpOPPYv2Y/edit?usp=sharing"",""งบพรบ!DL17"")"),0)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IFERROR(__xludf.DUMMYFUNCTION("IMPORTRANGE(""https://docs.google.com/spreadsheets/d/1-uDff_7J0KD5mKrp0Vvzr7lt3OU09vwQwhkpOPPYv2Y/edit?usp=sharing"",""งบพรบ!DH17"")"),0)</f>
        <v>0</v>
      </c>
      <c r="M274" s="521">
        <f ca="1">IFERROR(__xludf.DUMMYFUNCTION("IMPORTRANGE(""https://docs.google.com/spreadsheets/d/1-uDff_7J0KD5mKrp0Vvzr7lt3OU09vwQwhkpOPPYv2Y/edit?usp=sharing"",""งบพรบ!DK17"")"),0)</f>
        <v>0</v>
      </c>
      <c r="N274" s="521">
        <f ca="1">IFERROR(__xludf.DUMMYFUNCTION("IMPORTRANGE(""https://docs.google.com/spreadsheets/d/1-uDff_7J0KD5mKrp0Vvzr7lt3OU09vwQwhkpOPPYv2Y/edit?usp=sharing"",""งบพรบ!DM17"")"),0)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20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200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71120</v>
      </c>
      <c r="M282" s="577">
        <f ca="1">M283+M284</f>
        <v>59480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71120</v>
      </c>
      <c r="M284" s="425">
        <f ca="1">M287+M290</f>
        <v>59480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71120</v>
      </c>
      <c r="M285" s="425">
        <f ca="1">M286+M287</f>
        <v>59480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IFERROR(__xludf.DUMMYFUNCTION("IMPORTRANGE(""https://docs.google.com/spreadsheets/d/1-uDff_7J0KD5mKrp0Vvzr7lt3OU09vwQwhkpOPPYv2Y/edit?usp=sharing"",""งบพรบ!DO17"")"),71120)</f>
        <v>71120</v>
      </c>
      <c r="M287" s="425">
        <f ca="1">IFERROR(__xludf.DUMMYFUNCTION("IMPORTRANGE(""https://docs.google.com/spreadsheets/d/1-uDff_7J0KD5mKrp0Vvzr7lt3OU09vwQwhkpOPPYv2Y/edit?usp=sharing"",""งบพรบ!DT17"")"),59480)</f>
        <v>59480</v>
      </c>
      <c r="N287" s="425">
        <f ca="1">IFERROR(__xludf.DUMMYFUNCTION("IMPORTRANGE(""https://docs.google.com/spreadsheets/d/1-uDff_7J0KD5mKrp0Vvzr7lt3OU09vwQwhkpOPPYv2Y/edit?usp=sharing"",""งบพรบ!DV17"")"),0)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IFERROR(__xludf.DUMMYFUNCTION("IMPORTRANGE(""https://docs.google.com/spreadsheets/d/1-uDff_7J0KD5mKrp0Vvzr7lt3OU09vwQwhkpOPPYv2Y/edit?usp=sharing"",""งบพรบ!DR17"")"),0)</f>
        <v>0</v>
      </c>
      <c r="M290" s="425">
        <f ca="1">IFERROR(__xludf.DUMMYFUNCTION("IMPORTRANGE(""https://docs.google.com/spreadsheets/d/1-uDff_7J0KD5mKrp0Vvzr7lt3OU09vwQwhkpOPPYv2Y/edit?usp=sharing"",""งบพรบ!DU17"")"),0)</f>
        <v>0</v>
      </c>
      <c r="N290" s="425">
        <f ca="1">IFERROR(__xludf.DUMMYFUNCTION("IMPORTRANGE(""https://docs.google.com/spreadsheets/d/1-uDff_7J0KD5mKrp0Vvzr7lt3OU09vwQwhkpOPPYv2Y/edit?usp=sharing"",""งบพรบ!DW17"")"),0)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IFERROR(__xludf.DUMMYFUNCTION("IMPORTRANGE(""https://docs.google.com/spreadsheets/d/1eHaY18a8A9IcSdp1K8H6x8fbOy06t2VsZHhMHf-1x7Y/edit?usp=sharing"",""แผน!EE17"")"),200)</f>
        <v>200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IFERROR(__xludf.DUMMYFUNCTION("IMPORTRANGE(""https://docs.google.com/spreadsheets/d/1eHaY18a8A9IcSdp1K8H6x8fbOy06t2VsZHhMHf-1x7Y/edit?usp=sharing"",""แผน!ED17"")"),20)</f>
        <v>20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IFERROR(__xludf.DUMMYFUNCTION("IMPORTRANGE(""https://docs.google.com/spreadsheets/d/1eHaY18a8A9IcSdp1K8H6x8fbOy06t2VsZHhMHf-1x7Y/edit?usp=sharing"",""แผน!ED17"")"),20)</f>
        <v>20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IFERROR(__xludf.DUMMYFUNCTION("IMPORTRANGE(""https://docs.google.com/spreadsheets/d/1eHaY18a8A9IcSdp1K8H6x8fbOy06t2VsZHhMHf-1x7Y/edit?usp=sharing"",""แผน!ED17"")"),20)</f>
        <v>20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20</v>
      </c>
      <c r="J302" s="598">
        <f>J314</f>
        <v>20</v>
      </c>
      <c r="K302" s="597">
        <f ca="1">IF(I302&gt;0,J302*100/I302,0)</f>
        <v>100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133500</v>
      </c>
      <c r="M303" s="577">
        <f ca="1">M304+M305</f>
        <v>100900</v>
      </c>
      <c r="N303" s="577">
        <f ca="1">N304+N305</f>
        <v>33693</v>
      </c>
      <c r="O303" s="577">
        <f ca="1">IF(L303&gt;0,N303*100/L303,0)</f>
        <v>25.238202247191012</v>
      </c>
      <c r="P303" s="577">
        <f ca="1">IF(M303&gt;0,N303*100/M303,0)</f>
        <v>33.392467789890979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133500</v>
      </c>
      <c r="M305" s="425">
        <f ca="1">M308+M311</f>
        <v>100900</v>
      </c>
      <c r="N305" s="425">
        <f ca="1">N308+N311</f>
        <v>33693</v>
      </c>
      <c r="O305" s="425">
        <f ca="1">IF(L305&gt;0,N305*100/L305,0)</f>
        <v>25.238202247191012</v>
      </c>
      <c r="P305" s="425">
        <f ca="1">IF(M305&gt;0,N305*100/M305,0)</f>
        <v>33.392467789890979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133500</v>
      </c>
      <c r="M306" s="425">
        <f ca="1">M307+M308</f>
        <v>100900</v>
      </c>
      <c r="N306" s="425">
        <f ca="1">N307+N308</f>
        <v>33693</v>
      </c>
      <c r="O306" s="425">
        <f ca="1">IF(L306&gt;0,N306*100/L306,0)</f>
        <v>25.238202247191012</v>
      </c>
      <c r="P306" s="425">
        <f ca="1">IF(M306&gt;0,N306*100/M306,0)</f>
        <v>33.392467789890979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IFERROR(__xludf.DUMMYFUNCTION("IMPORTRANGE(""https://docs.google.com/spreadsheets/d/1-uDff_7J0KD5mKrp0Vvzr7lt3OU09vwQwhkpOPPYv2Y/edit?usp=sharing"",""งบพรบ!DY17"")"),133500)</f>
        <v>133500</v>
      </c>
      <c r="M308" s="425">
        <f ca="1">IFERROR(__xludf.DUMMYFUNCTION("IMPORTRANGE(""https://docs.google.com/spreadsheets/d/1-uDff_7J0KD5mKrp0Vvzr7lt3OU09vwQwhkpOPPYv2Y/edit?usp=sharing"",""งบพรบ!ED17"")"),100900)</f>
        <v>100900</v>
      </c>
      <c r="N308" s="425">
        <f ca="1">IFERROR(__xludf.DUMMYFUNCTION("IMPORTRANGE(""https://docs.google.com/spreadsheets/d/1-uDff_7J0KD5mKrp0Vvzr7lt3OU09vwQwhkpOPPYv2Y/edit?usp=sharing"",""งบพรบ!EF17"")"),33693)</f>
        <v>33693</v>
      </c>
      <c r="O308" s="425">
        <f ca="1">IF(L308&gt;0,N308*100/L308,0)</f>
        <v>25.238202247191012</v>
      </c>
      <c r="P308" s="425">
        <f ca="1">IF(M308&gt;0,N308*100/M308,0)</f>
        <v>33.392467789890979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IFERROR(__xludf.DUMMYFUNCTION("IMPORTRANGE(""https://docs.google.com/spreadsheets/d/1-uDff_7J0KD5mKrp0Vvzr7lt3OU09vwQwhkpOPPYv2Y/edit?usp=sharing"",""งบพรบ!EB17"")"),0)</f>
        <v>0</v>
      </c>
      <c r="M311" s="425">
        <f ca="1">IFERROR(__xludf.DUMMYFUNCTION("IMPORTRANGE(""https://docs.google.com/spreadsheets/d/1-uDff_7J0KD5mKrp0Vvzr7lt3OU09vwQwhkpOPPYv2Y/edit?usp=sharing"",""งบพรบ!EE17"")"),0)</f>
        <v>0</v>
      </c>
      <c r="N311" s="425">
        <f ca="1">IFERROR(__xludf.DUMMYFUNCTION("IMPORTRANGE(""https://docs.google.com/spreadsheets/d/1-uDff_7J0KD5mKrp0Vvzr7lt3OU09vwQwhkpOPPYv2Y/edit?usp=sharing"",""งบพรบ!EG17"")"),0)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IFERROR(__xludf.DUMMYFUNCTION("IMPORTRANGE(""https://docs.google.com/spreadsheets/d/1eHaY18a8A9IcSdp1K8H6x8fbOy06t2VsZHhMHf-1x7Y/edit?usp=sharing"",""แผน!EF17"")"),20)</f>
        <v>20</v>
      </c>
      <c r="J314" s="595">
        <v>20</v>
      </c>
      <c r="K314" s="425">
        <f ca="1">IF(I314&gt;0,J314*100/I314,0)</f>
        <v>100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IFERROR(__xludf.DUMMYFUNCTION("IMPORTRANGE(""https://docs.google.com/spreadsheets/d/1eHaY18a8A9IcSdp1K8H6x8fbOy06t2VsZHhMHf-1x7Y/edit?usp=sharing"",""แผน!EG17"")"),4)</f>
        <v>4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IFERROR(__xludf.DUMMYFUNCTION("IMPORTRANGE(""https://docs.google.com/spreadsheets/d/1eHaY18a8A9IcSdp1K8H6x8fbOy06t2VsZHhMHf-1x7Y/edit?usp=sharing"",""แผน!EH17"")"),20)</f>
        <v>20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IFERROR(__xludf.DUMMYFUNCTION("IMPORTRANGE(""https://docs.google.com/spreadsheets/d/1eHaY18a8A9IcSdp1K8H6x8fbOy06t2VsZHhMHf-1x7Y/edit?usp=sharing"",""แผน!EI17"")"),4)</f>
        <v>4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IFERROR(__xludf.DUMMYFUNCTION("IMPORTRANGE(""https://docs.google.com/spreadsheets/d/1-uDff_7J0KD5mKrp0Vvzr7lt3OU09vwQwhkpOPPYv2Y/edit?usp=sharing"",""งบพรบ!EI17"")"),0)</f>
        <v>0</v>
      </c>
      <c r="M325" s="425">
        <f ca="1">IFERROR(__xludf.DUMMYFUNCTION("IMPORTRANGE(""https://docs.google.com/spreadsheets/d/1-uDff_7J0KD5mKrp0Vvzr7lt3OU09vwQwhkpOPPYv2Y/edit?usp=sharing"",""งบพรบ!EN17"")"),0)</f>
        <v>0</v>
      </c>
      <c r="N325" s="425">
        <f ca="1">IFERROR(__xludf.DUMMYFUNCTION("IMPORTRANGE(""https://docs.google.com/spreadsheets/d/1-uDff_7J0KD5mKrp0Vvzr7lt3OU09vwQwhkpOPPYv2Y/edit?usp=sharing"",""งบพรบ!EP17"")"),0)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IFERROR(__xludf.DUMMYFUNCTION("IMPORTRANGE(""https://docs.google.com/spreadsheets/d/1-uDff_7J0KD5mKrp0Vvzr7lt3OU09vwQwhkpOPPYv2Y/edit?usp=sharing"",""งบพรบ!EL17"")"),0)</f>
        <v>0</v>
      </c>
      <c r="M328" s="425">
        <f ca="1">IFERROR(__xludf.DUMMYFUNCTION("IMPORTRANGE(""https://docs.google.com/spreadsheets/d/1-uDff_7J0KD5mKrp0Vvzr7lt3OU09vwQwhkpOPPYv2Y/edit?usp=sharing"",""งบพรบ!EO17"")"),0)</f>
        <v>0</v>
      </c>
      <c r="N328" s="425">
        <f ca="1">IFERROR(__xludf.DUMMYFUNCTION("IMPORTRANGE(""https://docs.google.com/spreadsheets/d/1-uDff_7J0KD5mKrp0Vvzr7lt3OU09vwQwhkpOPPYv2Y/edit?usp=sharing"",""งบพรบ!EQ17"")"),0)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IFERROR(__xludf.DUMMYFUNCTION("IMPORTRANGE(""https://docs.google.com/spreadsheets/d/1eHaY18a8A9IcSdp1K8H6x8fbOy06t2VsZHhMHf-1x7Y/edit?usp=sharing"",""แผน!EJ17"")"),0)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600</v>
      </c>
      <c r="J332" s="402">
        <f ca="1">J344+J347+J348+J349+J353</f>
        <v>1522</v>
      </c>
      <c r="K332" s="403">
        <f ca="1">IF(I332&gt;0,J332*100/I332,0)</f>
        <v>253.66666666666666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105000</v>
      </c>
      <c r="M333" s="577">
        <f ca="1">M334+M335</f>
        <v>83350</v>
      </c>
      <c r="N333" s="577">
        <f ca="1">N334+N335</f>
        <v>47260</v>
      </c>
      <c r="O333" s="577">
        <f ca="1">IF(L333&gt;0,N333*100/L333,0)</f>
        <v>45.009523809523813</v>
      </c>
      <c r="P333" s="577">
        <f ca="1">IF(M333&gt;0,N333*100/M333,0)</f>
        <v>56.700659868026392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105000</v>
      </c>
      <c r="M335" s="425">
        <f ca="1">M338+M341</f>
        <v>83350</v>
      </c>
      <c r="N335" s="425">
        <f ca="1">N338+N341</f>
        <v>47260</v>
      </c>
      <c r="O335" s="425">
        <f ca="1">IF(L335&gt;0,N335*100/L335,0)</f>
        <v>45.009523809523813</v>
      </c>
      <c r="P335" s="425">
        <f ca="1">IF(M335&gt;0,N335*100/M335,0)</f>
        <v>56.700659868026392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105000</v>
      </c>
      <c r="M336" s="425">
        <f ca="1">M337+M338</f>
        <v>83350</v>
      </c>
      <c r="N336" s="425">
        <f ca="1">N337+N338</f>
        <v>47260</v>
      </c>
      <c r="O336" s="425">
        <f ca="1">IF(L336&gt;0,N336*100/L336,0)</f>
        <v>45.009523809523813</v>
      </c>
      <c r="P336" s="425">
        <f ca="1">IF(M336&gt;0,N336*100/M336,0)</f>
        <v>56.700659868026392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IFERROR(__xludf.DUMMYFUNCTION("IMPORTRANGE(""https://docs.google.com/spreadsheets/d/1-uDff_7J0KD5mKrp0Vvzr7lt3OU09vwQwhkpOPPYv2Y/edit?usp=sharing"",""งบพรบ!ES17"")"),105000)</f>
        <v>105000</v>
      </c>
      <c r="M338" s="425">
        <f ca="1">IFERROR(__xludf.DUMMYFUNCTION("IMPORTRANGE(""https://docs.google.com/spreadsheets/d/1-uDff_7J0KD5mKrp0Vvzr7lt3OU09vwQwhkpOPPYv2Y/edit?usp=sharing"",""งบพรบ!EX17"")"),83350)</f>
        <v>83350</v>
      </c>
      <c r="N338" s="425">
        <f ca="1">IFERROR(__xludf.DUMMYFUNCTION("IMPORTRANGE(""https://docs.google.com/spreadsheets/d/1-uDff_7J0KD5mKrp0Vvzr7lt3OU09vwQwhkpOPPYv2Y/edit?usp=sharing"",""งบพรบ!EZ17"")"),47260)</f>
        <v>47260</v>
      </c>
      <c r="O338" s="425">
        <f ca="1">IF(L338&gt;0,N338*100/L338,0)</f>
        <v>45.009523809523813</v>
      </c>
      <c r="P338" s="425">
        <f ca="1">IF(M338&gt;0,N338*100/M338,0)</f>
        <v>56.700659868026392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IFERROR(__xludf.DUMMYFUNCTION("IMPORTRANGE(""https://docs.google.com/spreadsheets/d/1-uDff_7J0KD5mKrp0Vvzr7lt3OU09vwQwhkpOPPYv2Y/edit?usp=sharing"",""งบพรบ!EV17"")"),0)</f>
        <v>0</v>
      </c>
      <c r="M341" s="425">
        <f ca="1">IFERROR(__xludf.DUMMYFUNCTION("IMPORTRANGE(""https://docs.google.com/spreadsheets/d/1-uDff_7J0KD5mKrp0Vvzr7lt3OU09vwQwhkpOPPYv2Y/edit?usp=sharing"",""งบพรบ!EY17"")"),0)</f>
        <v>0</v>
      </c>
      <c r="N341" s="425">
        <f ca="1">IFERROR(__xludf.DUMMYFUNCTION("IMPORTRANGE(""https://docs.google.com/spreadsheets/d/1-uDff_7J0KD5mKrp0Vvzr7lt3OU09vwQwhkpOPPYv2Y/edit?usp=sharing"",""งบพรบ!FA17"")"),0)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277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IFERROR(__xludf.DUMMYFUNCTION("IMPORTRANGE(""https://docs.google.com/spreadsheets/d/1eHaY18a8A9IcSdp1K8H6x8fbOy06t2VsZHhMHf-1x7Y/edit?usp=sharing"",""แผน!EK17"")"),600)</f>
        <v>600</v>
      </c>
      <c r="J344" s="424">
        <f ca="1">IFERROR(__xludf.DUMMYFUNCTION("IMPORTRANGE(""https://docs.google.com/spreadsheets/d/1awYsYK3VOup2i3Pq_Yjnu8DRu_mYwSBnCR2QPthd0rU/edit?usp=sharing"",""ศูนย์ยกเว้นโฉนด!D17"")"),123)</f>
        <v>123</v>
      </c>
      <c r="K344" s="425">
        <f ca="1">IF(I344&gt;0,J344*100/I344,0)</f>
        <v>20.5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IFERROR(__xludf.DUMMYFUNCTION("IMPORTRANGE(""https://docs.google.com/spreadsheets/d/1eHaY18a8A9IcSdp1K8H6x8fbOy06t2VsZHhMHf-1x7Y/edit?usp=sharing"",""แผน!EL17"")"),4)</f>
        <v>4</v>
      </c>
      <c r="J346" s="424">
        <f ca="1">IFERROR(__xludf.DUMMYFUNCTION("IMPORTRANGE(""https://docs.google.com/spreadsheets/d/1awYsYK3VOup2i3Pq_Yjnu8DRu_mYwSBnCR2QPthd0rU/edit?usp=sharing"",""ศูนย์รวม!E17"")"),6)</f>
        <v>6</v>
      </c>
      <c r="K346" s="425">
        <f ca="1">IF(I346&gt;0,J346*100/I346,0)</f>
        <v>150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IFERROR(__xludf.DUMMYFUNCTION("IMPORTRANGE(""https://docs.google.com/spreadsheets/d/1awYsYK3VOup2i3Pq_Yjnu8DRu_mYwSBnCR2QPthd0rU/edit?usp=sharing"",""ศูนย์ยกเว้นโฉนด!F17"")"),153)</f>
        <v>153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IFERROR(__xludf.DUMMYFUNCTION("IMPORTRANGE(""https://docs.google.com/spreadsheets/d/1awYsYK3VOup2i3Pq_Yjnu8DRu_mYwSBnCR2QPthd0rU/edit?usp=sharing"",""ศูนย์ยกเว้นโฉนด!G17"")"),1)</f>
        <v>1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IFERROR(__xludf.DUMMYFUNCTION("IMPORTRANGE(""https://docs.google.com/spreadsheets/d/1awYsYK3VOup2i3Pq_Yjnu8DRu_mYwSBnCR2QPthd0rU/edit?usp=sharing"",""ศูนย์ยกเว้นโฉนด!H17"")"),0)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1378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IFERROR(__xludf.DUMMYFUNCTION("IMPORTRANGE(""https://docs.google.com/spreadsheets/d/1awYsYK3VOup2i3Pq_Yjnu8DRu_mYwSBnCR2QPthd0rU/edit?usp=sharing"",""โฉนดM3!G17"")"),133)</f>
        <v>133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IFERROR(__xludf.DUMMYFUNCTION("IMPORTRANGE(""https://docs.google.com/spreadsheets/d/1awYsYK3VOup2i3Pq_Yjnu8DRu_mYwSBnCR2QPthd0rU/edit?usp=sharing"",""โฉนดM3!H17"")"),1245)</f>
        <v>1245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446460</v>
      </c>
      <c r="M356" s="577">
        <f ca="1">M357+M358</f>
        <v>382460</v>
      </c>
      <c r="N356" s="577">
        <f ca="1">N357+N358</f>
        <v>47230</v>
      </c>
      <c r="O356" s="577">
        <f ca="1">IF(L356&gt;0,N356*100/L356,0)</f>
        <v>10.578775254222103</v>
      </c>
      <c r="P356" s="577">
        <f ca="1">IF(M356&gt;0,N356*100/M356,0)</f>
        <v>12.349003817392669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446460</v>
      </c>
      <c r="M358" s="425">
        <f ca="1">M361+M364</f>
        <v>382460</v>
      </c>
      <c r="N358" s="425">
        <f ca="1">N361+N364</f>
        <v>47230</v>
      </c>
      <c r="O358" s="425">
        <f ca="1">IF(L358&gt;0,N358*100/L358,0)</f>
        <v>10.578775254222103</v>
      </c>
      <c r="P358" s="425">
        <f ca="1">IF(M358&gt;0,N358*100/M358,0)</f>
        <v>12.349003817392669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446460</v>
      </c>
      <c r="M359" s="425">
        <f ca="1">M360+M361</f>
        <v>382460</v>
      </c>
      <c r="N359" s="425">
        <f ca="1">N360+N361</f>
        <v>47230</v>
      </c>
      <c r="O359" s="425">
        <f ca="1">IF(L359&gt;0,N359*100/L359,0)</f>
        <v>10.578775254222103</v>
      </c>
      <c r="P359" s="425">
        <f ca="1">IF(M359&gt;0,N359*100/M359,0)</f>
        <v>12.349003817392669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IFERROR(__xludf.DUMMYFUNCTION("IMPORTRANGE(""https://docs.google.com/spreadsheets/d/1-uDff_7J0KD5mKrp0Vvzr7lt3OU09vwQwhkpOPPYv2Y/edit?usp=sharing"",""งบพรบ!FC17"")"),446460)</f>
        <v>446460</v>
      </c>
      <c r="M361" s="425">
        <f ca="1">IFERROR(__xludf.DUMMYFUNCTION("IMPORTRANGE(""https://docs.google.com/spreadsheets/d/1-uDff_7J0KD5mKrp0Vvzr7lt3OU09vwQwhkpOPPYv2Y/edit?usp=sharing"",""งบพรบ!FH17"")"),382460)</f>
        <v>382460</v>
      </c>
      <c r="N361" s="425">
        <f ca="1">IFERROR(__xludf.DUMMYFUNCTION("IMPORTRANGE(""https://docs.google.com/spreadsheets/d/1-uDff_7J0KD5mKrp0Vvzr7lt3OU09vwQwhkpOPPYv2Y/edit?usp=sharing"",""งบพรบ!FJ17"")"),47230)</f>
        <v>47230</v>
      </c>
      <c r="O361" s="425">
        <f ca="1">IF(L361&gt;0,N361*100/L361,0)</f>
        <v>10.578775254222103</v>
      </c>
      <c r="P361" s="425">
        <f ca="1">IF(M361&gt;0,N361*100/M361,0)</f>
        <v>12.349003817392669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IFERROR(__xludf.DUMMYFUNCTION("IMPORTRANGE(""https://docs.google.com/spreadsheets/d/1-uDff_7J0KD5mKrp0Vvzr7lt3OU09vwQwhkpOPPYv2Y/edit?usp=sharing"",""งบพรบ!FF17"")"),0)</f>
        <v>0</v>
      </c>
      <c r="M364" s="425">
        <f ca="1">IFERROR(__xludf.DUMMYFUNCTION("IMPORTRANGE(""https://docs.google.com/spreadsheets/d/1-uDff_7J0KD5mKrp0Vvzr7lt3OU09vwQwhkpOPPYv2Y/edit?usp=sharing"",""งบพรบ!FI17"")"),0)</f>
        <v>0</v>
      </c>
      <c r="N364" s="425">
        <f ca="1">IFERROR(__xludf.DUMMYFUNCTION("IMPORTRANGE(""https://docs.google.com/spreadsheets/d/1-uDff_7J0KD5mKrp0Vvzr7lt3OU09vwQwhkpOPPYv2Y/edit?usp=sharing"",""งบพรบ!FK17"")"),0)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225</v>
      </c>
      <c r="J365" s="438">
        <f ca="1">J371</f>
        <v>88</v>
      </c>
      <c r="K365" s="439">
        <f ca="1">IF(I365&gt;0,J365*100/I365,0)</f>
        <v>39.111111111111114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IFERROR(__xludf.DUMMYFUNCTION("IMPORTRANGE(""https://docs.google.com/spreadsheets/d/1tdoBKaGub7dwA3U6UFTqxio9LNnvDCQjHKmttSEBsFQ/edit?usp=sharing"",""จัดที่ดิน!AB17"")"),0)</f>
        <v>0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IFERROR(__xludf.DUMMYFUNCTION("IMPORTRANGE(""https://docs.google.com/spreadsheets/d/1eHaY18a8A9IcSdp1K8H6x8fbOy06t2VsZHhMHf-1x7Y/edit?usp=sharing"",""แผน!EW17"")"),1890)</f>
        <v>1890</v>
      </c>
      <c r="J368" s="565">
        <f ca="1">IFERROR(__xludf.DUMMYFUNCTION("IMPORTRANGE(""https://docs.google.com/spreadsheets/d/1tdoBKaGub7dwA3U6UFTqxio9LNnvDCQjHKmttSEBsFQ/edit?usp=sharing"",""จัดที่ดิน!AC17"")"),0)</f>
        <v>0</v>
      </c>
      <c r="K368" s="425">
        <f ca="1">IF(I368&gt;0,J368*100/I368,0)</f>
        <v>0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IFERROR(__xludf.DUMMYFUNCTION("IMPORTRANGE(""https://docs.google.com/spreadsheets/d/1eHaY18a8A9IcSdp1K8H6x8fbOy06t2VsZHhMHf-1x7Y/edit?usp=sharing"",""แผน!EX17"")"),333)</f>
        <v>333</v>
      </c>
      <c r="J369" s="424">
        <f ca="1">IFERROR(__xludf.DUMMYFUNCTION("IMPORTRANGE(""https://docs.google.com/spreadsheets/d/1tdoBKaGub7dwA3U6UFTqxio9LNnvDCQjHKmttSEBsFQ/edit?usp=sharing"",""จัดที่ดิน!AD17"")"),88)</f>
        <v>88</v>
      </c>
      <c r="K369" s="425">
        <f ca="1">IF(I369&gt;0,J369*100/I369,0)</f>
        <v>26.426426426426428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IFERROR(__xludf.DUMMYFUNCTION("IMPORTRANGE(""https://docs.google.com/spreadsheets/d/1tdoBKaGub7dwA3U6UFTqxio9LNnvDCQjHKmttSEBsFQ/edit?usp=sharing"",""จัดที่ดิน!AE17"")"),1247.91)</f>
        <v>1247.9100000000001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IFERROR(__xludf.DUMMYFUNCTION("IMPORTRANGE(""https://docs.google.com/spreadsheets/d/1eHaY18a8A9IcSdp1K8H6x8fbOy06t2VsZHhMHf-1x7Y/edit?usp=sharing"",""แผน!EY17"")"),225)</f>
        <v>225</v>
      </c>
      <c r="J371" s="424">
        <f ca="1">IFERROR(__xludf.DUMMYFUNCTION("IMPORTRANGE(""https://docs.google.com/spreadsheets/d/1tdoBKaGub7dwA3U6UFTqxio9LNnvDCQjHKmttSEBsFQ/edit?usp=sharing"",""จัดที่ดิน!AF17"")"),88)</f>
        <v>88</v>
      </c>
      <c r="K371" s="425">
        <f ca="1">IF(I371&gt;0,J371*100/I371,0)</f>
        <v>39.111111111111114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IFERROR(__xludf.DUMMYFUNCTION("IMPORTRANGE(""https://docs.google.com/spreadsheets/d/1tdoBKaGub7dwA3U6UFTqxio9LNnvDCQjHKmttSEBsFQ/edit?usp=sharing"",""จัดที่ดิน!AG17"")"),1247.91)</f>
        <v>1247.9100000000001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IFERROR(__xludf.DUMMYFUNCTION("IMPORTRANGE(""https://docs.google.com/spreadsheets/d/1-uDff_7J0KD5mKrp0Vvzr7lt3OU09vwQwhkpOPPYv2Y/edit?usp=sharing"",""งบพรบ!FM17"")"),0)</f>
        <v>0</v>
      </c>
      <c r="M382" s="521">
        <f ca="1">IFERROR(__xludf.DUMMYFUNCTION("IMPORTRANGE(""https://docs.google.com/spreadsheets/d/1-uDff_7J0KD5mKrp0Vvzr7lt3OU09vwQwhkpOPPYv2Y/edit?usp=sharing"",""งบพรบ!FR17"")"),0)</f>
        <v>0</v>
      </c>
      <c r="N382" s="521">
        <f ca="1">IFERROR(__xludf.DUMMYFUNCTION("IMPORTRANGE(""https://docs.google.com/spreadsheets/d/1-uDff_7J0KD5mKrp0Vvzr7lt3OU09vwQwhkpOPPYv2Y/edit?usp=sharing"",""งบพรบ!FT17"")"),0)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IFERROR(__xludf.DUMMYFUNCTION("IMPORTRANGE(""https://docs.google.com/spreadsheets/d/1-uDff_7J0KD5mKrp0Vvzr7lt3OU09vwQwhkpOPPYv2Y/edit?usp=sharing"",""งบพรบ!FP17"")"),0)</f>
        <v>0</v>
      </c>
      <c r="M385" s="521">
        <f ca="1">IFERROR(__xludf.DUMMYFUNCTION("IMPORTRANGE(""https://docs.google.com/spreadsheets/d/1-uDff_7J0KD5mKrp0Vvzr7lt3OU09vwQwhkpOPPYv2Y/edit?usp=sharing"",""งบพรบ!FS17"")"),0)</f>
        <v>0</v>
      </c>
      <c r="N385" s="521">
        <f ca="1">IFERROR(__xludf.DUMMYFUNCTION("IMPORTRANGE(""https://docs.google.com/spreadsheets/d/1-uDff_7J0KD5mKrp0Vvzr7lt3OU09vwQwhkpOPPYv2Y/edit?usp=sharing"",""งบพรบ!FU17"")"),0)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8B09-427E-4A5B-ACE8-66753DEA53CE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28515625" bestFit="1" customWidth="1"/>
    <col min="10" max="10" width="15" bestFit="1" customWidth="1"/>
    <col min="11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165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2237437</v>
      </c>
      <c r="M18" s="704">
        <f ca="1">M19+M20</f>
        <v>1892936</v>
      </c>
      <c r="N18" s="704">
        <f ca="1">N19+N20</f>
        <v>719235.92999999993</v>
      </c>
      <c r="O18" s="704">
        <f ca="1">IF(L18&gt;0,N18*100/L18,0)</f>
        <v>32.14552767295794</v>
      </c>
      <c r="P18" s="704">
        <f ca="1">IF(M18&gt;0,N18*100/M18,0)</f>
        <v>37.995786967969337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2237437</v>
      </c>
      <c r="M20" s="817">
        <f ca="1">M23+M26</f>
        <v>1892936</v>
      </c>
      <c r="N20" s="817">
        <f ca="1">N23+N26</f>
        <v>719235.92999999993</v>
      </c>
      <c r="O20" s="817">
        <f ca="1">IF(L20&gt;0,N20*100/L20,0)</f>
        <v>32.14552767295794</v>
      </c>
      <c r="P20" s="817">
        <f ca="1">IF(M20&gt;0,N20*100/M20,0)</f>
        <v>37.995786967969337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2237437</v>
      </c>
      <c r="M21" s="425">
        <f ca="1">M22+M23</f>
        <v>1892936</v>
      </c>
      <c r="N21" s="425">
        <f ca="1">N22+N23</f>
        <v>719235.92999999993</v>
      </c>
      <c r="O21" s="425">
        <f ca="1">IF(L21&gt;0,N21*100/L21,0)</f>
        <v>32.14552767295794</v>
      </c>
      <c r="P21" s="425">
        <f ca="1">IF(M21&gt;0,N21*100/M21,0)</f>
        <v>37.995786967969337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2237437</v>
      </c>
      <c r="M23" s="425">
        <f ca="1">M49+M64+M77+M99+M130+M144+M162+M191+M178+M271+M287+M308+M325+M338+M361+M382</f>
        <v>1892936</v>
      </c>
      <c r="N23" s="425">
        <f ca="1">N49+N64+N77+N99+N130+N144+N162+N191+N178+N271+N287+N308+N325+N338+N361+N382</f>
        <v>719235.92999999993</v>
      </c>
      <c r="O23" s="425">
        <f ca="1">IF(L23&gt;0,N23*100/L23,0)</f>
        <v>32.14552767295794</v>
      </c>
      <c r="P23" s="425">
        <f ca="1">IF(M23&gt;0,N23*100/M23,0)</f>
        <v>37.995786967969337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2237437</v>
      </c>
      <c r="M40" s="809">
        <f ca="1">M44+M59+M72+M94+M125+M139+M157+M173+M186+M266+M282+M303+M320+M333+M356</f>
        <v>1892936</v>
      </c>
      <c r="N40" s="809">
        <f ca="1">N44+N59+N72+N94+N125+N139+N157+N173+N186+N266+N282+N303+N320+N333+N356</f>
        <v>719235.92999999993</v>
      </c>
      <c r="O40" s="809">
        <f ca="1">IF(L40&gt;0,N40*100/L40,0)</f>
        <v>32.14552767295794</v>
      </c>
      <c r="P40" s="809">
        <f ca="1">IF(M40&gt;0,N40*100/M40,0)</f>
        <v>37.995786967969337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382392</v>
      </c>
      <c r="M44" s="794">
        <f ca="1">M45+M46</f>
        <v>393471</v>
      </c>
      <c r="N44" s="794">
        <f ca="1">N45+N46</f>
        <v>183611</v>
      </c>
      <c r="O44" s="794">
        <f ca="1">IF(L44&gt;0,N44*100/L44,0)</f>
        <v>48.016433398188248</v>
      </c>
      <c r="P44" s="794">
        <f ca="1">IF(M44&gt;0,N44*100/M44,0)</f>
        <v>46.664430161307948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382392</v>
      </c>
      <c r="M46" s="783">
        <f ca="1">M49+M52</f>
        <v>393471</v>
      </c>
      <c r="N46" s="783">
        <f ca="1">N49+N52</f>
        <v>183611</v>
      </c>
      <c r="O46" s="783">
        <f ca="1">IF(L46&gt;0,N46*100/L46,0)</f>
        <v>48.016433398188248</v>
      </c>
      <c r="P46" s="783">
        <f ca="1">IF(M46&gt;0,N46*100/M46,0)</f>
        <v>46.664430161307948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382392</v>
      </c>
      <c r="M47" s="425">
        <f ca="1">M48+M49</f>
        <v>393471</v>
      </c>
      <c r="N47" s="425">
        <f ca="1">N48+N49</f>
        <v>183611</v>
      </c>
      <c r="O47" s="425">
        <f ca="1">IF(L47&gt;0,N47*100/L47,0)</f>
        <v>48.016433398188248</v>
      </c>
      <c r="P47" s="425">
        <f ca="1">IF(M47&gt;0,N47*100/M47,0)</f>
        <v>46.664430161307948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IFERROR(__xludf.DUMMYFUNCTION("IMPORTRANGE(""https://docs.google.com/spreadsheets/d/1-uDff_7J0KD5mKrp0Vvzr7lt3OU09vwQwhkpOPPYv2Y/edit?usp=sharing"",""งบพรบ!P18"")"),382392)</f>
        <v>382392</v>
      </c>
      <c r="M49" s="425">
        <f ca="1">IFERROR(__xludf.DUMMYFUNCTION("IMPORTRANGE(""https://docs.google.com/spreadsheets/d/1-uDff_7J0KD5mKrp0Vvzr7lt3OU09vwQwhkpOPPYv2Y/edit?usp=sharing"",""งบพรบ!V18"")"),393471)</f>
        <v>393471</v>
      </c>
      <c r="N49" s="425">
        <f ca="1">IFERROR(__xludf.DUMMYFUNCTION("IMPORTRANGE(""https://docs.google.com/spreadsheets/d/1-uDff_7J0KD5mKrp0Vvzr7lt3OU09vwQwhkpOPPYv2Y/edit?usp=sharing"",""งบพรบ!Y18"")"),183611)</f>
        <v>183611</v>
      </c>
      <c r="O49" s="425">
        <f ca="1">IF(L49&gt;0,N49*100/L49,0)</f>
        <v>48.016433398188248</v>
      </c>
      <c r="P49" s="425">
        <f ca="1">IF(M49&gt;0,N49*100/M49,0)</f>
        <v>46.664430161307948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IFERROR(__xludf.DUMMYFUNCTION("IMPORTRANGE(""https://docs.google.com/spreadsheets/d/1-uDff_7J0KD5mKrp0Vvzr7lt3OU09vwQwhkpOPPYv2Y/edit?usp=sharing"",""งบพรบ!S18"")"),0)</f>
        <v>0</v>
      </c>
      <c r="M52" s="425">
        <f ca="1">IFERROR(__xludf.DUMMYFUNCTION("IMPORTRANGE(""https://docs.google.com/spreadsheets/d/1-uDff_7J0KD5mKrp0Vvzr7lt3OU09vwQwhkpOPPYv2Y/edit?usp=sharing"",""งบพรบ!W18"")"),0)</f>
        <v>0</v>
      </c>
      <c r="N52" s="425">
        <f ca="1">IFERROR(__xludf.DUMMYFUNCTION("IMPORTRANGE(""https://docs.google.com/spreadsheets/d/1-uDff_7J0KD5mKrp0Vvzr7lt3OU09vwQwhkpOPPYv2Y/edit?usp=sharing"",""งบพรบ!Z18"")"),0)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643100</v>
      </c>
      <c r="M59" s="763">
        <f ca="1">M60+M61</f>
        <v>543890</v>
      </c>
      <c r="N59" s="763">
        <f ca="1">N60+N61</f>
        <v>345454.93</v>
      </c>
      <c r="O59" s="763">
        <f ca="1">IF(L59&gt;0,N59*100/L59,0)</f>
        <v>53.717140413621522</v>
      </c>
      <c r="P59" s="763">
        <f ca="1">IF(M59&gt;0,N59*100/M59,0)</f>
        <v>63.515587710750339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643100</v>
      </c>
      <c r="M61" s="752">
        <f ca="1">M64+M67</f>
        <v>543890</v>
      </c>
      <c r="N61" s="752">
        <f ca="1">N64+N67</f>
        <v>345454.93</v>
      </c>
      <c r="O61" s="752">
        <f ca="1">IF(L61&gt;0,N61*100/L61,0)</f>
        <v>53.717140413621522</v>
      </c>
      <c r="P61" s="752">
        <f ca="1">IF(M61&gt;0,N61*100/M61,0)</f>
        <v>63.515587710750339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643100</v>
      </c>
      <c r="M62" s="425">
        <f ca="1">M63+M64</f>
        <v>543890</v>
      </c>
      <c r="N62" s="425">
        <f ca="1">N63+N64</f>
        <v>345454.93</v>
      </c>
      <c r="O62" s="425">
        <f ca="1">IF(L62&gt;0,N62*100/L62,0)</f>
        <v>53.717140413621522</v>
      </c>
      <c r="P62" s="425">
        <f ca="1">IF(M62&gt;0,N62*100/M62,0)</f>
        <v>63.515587710750339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IFERROR(__xludf.DUMMYFUNCTION("IMPORTRANGE(""https://docs.google.com/spreadsheets/d/1-uDff_7J0KD5mKrp0Vvzr7lt3OU09vwQwhkpOPPYv2Y/edit?usp=sharing"",""งบพรบ!AC18"")"),643100)</f>
        <v>643100</v>
      </c>
      <c r="M64" s="425">
        <f ca="1">IFERROR(__xludf.DUMMYFUNCTION("IMPORTRANGE(""https://docs.google.com/spreadsheets/d/1-uDff_7J0KD5mKrp0Vvzr7lt3OU09vwQwhkpOPPYv2Y/edit?usp=sharing"",""งบพรบ!AH18"")"),543890)</f>
        <v>543890</v>
      </c>
      <c r="N64" s="425">
        <f ca="1">IFERROR(__xludf.DUMMYFUNCTION("IMPORTRANGE(""https://docs.google.com/spreadsheets/d/1-uDff_7J0KD5mKrp0Vvzr7lt3OU09vwQwhkpOPPYv2Y/edit?usp=sharing"",""งบพรบ!AJ18"")"),345454.93)</f>
        <v>345454.93</v>
      </c>
      <c r="O64" s="425">
        <f ca="1">IF(L64&gt;0,N64*100/L64,0)</f>
        <v>53.717140413621522</v>
      </c>
      <c r="P64" s="425">
        <f ca="1">IF(M64&gt;0,N64*100/M64,0)</f>
        <v>63.515587710750339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IFERROR(__xludf.DUMMYFUNCTION("IMPORTRANGE(""https://docs.google.com/spreadsheets/d/1-uDff_7J0KD5mKrp0Vvzr7lt3OU09vwQwhkpOPPYv2Y/edit?usp=sharing"",""งบพรบ!AF18"")"),0)</f>
        <v>0</v>
      </c>
      <c r="M67" s="747">
        <f ca="1">IFERROR(__xludf.DUMMYFUNCTION("IMPORTRANGE(""https://docs.google.com/spreadsheets/d/1-uDff_7J0KD5mKrp0Vvzr7lt3OU09vwQwhkpOPPYv2Y/edit?usp=sharing"",""งบพรบ!AI18"")"),0)</f>
        <v>0</v>
      </c>
      <c r="N67" s="747">
        <f ca="1">IFERROR(__xludf.DUMMYFUNCTION("IMPORTRANGE(""https://docs.google.com/spreadsheets/d/1-uDff_7J0KD5mKrp0Vvzr7lt3OU09vwQwhkpOPPYv2Y/edit?usp=sharing"",""งบพรบ!AK18"")"),0)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IFERROR(__xludf.DUMMYFUNCTION("IMPORTRANGE(""https://docs.google.com/spreadsheets/d/1-uDff_7J0KD5mKrp0Vvzr7lt3OU09vwQwhkpOPPYv2Y/edit?usp=sharing"",""งบพรบ!AM18"")"),0)</f>
        <v>0</v>
      </c>
      <c r="M77" s="425">
        <f ca="1">IFERROR(__xludf.DUMMYFUNCTION("IMPORTRANGE(""https://docs.google.com/spreadsheets/d/1-uDff_7J0KD5mKrp0Vvzr7lt3OU09vwQwhkpOPPYv2Y/edit?usp=sharing"",""งบพรบ!AR18"")"),0)</f>
        <v>0</v>
      </c>
      <c r="N77" s="425">
        <f ca="1">IFERROR(__xludf.DUMMYFUNCTION("IMPORTRANGE(""https://docs.google.com/spreadsheets/d/1-uDff_7J0KD5mKrp0Vvzr7lt3OU09vwQwhkpOPPYv2Y/edit?usp=sharing"",""งบพรบ!AT18"")"),0)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IFERROR(__xludf.DUMMYFUNCTION("IMPORTRANGE(""https://docs.google.com/spreadsheets/d/1-uDff_7J0KD5mKrp0Vvzr7lt3OU09vwQwhkpOPPYv2Y/edit?usp=sharing"",""งบพรบ!AP18"")"),0)</f>
        <v>0</v>
      </c>
      <c r="M80" s="425">
        <f ca="1">IFERROR(__xludf.DUMMYFUNCTION("IMPORTRANGE(""https://docs.google.com/spreadsheets/d/1-uDff_7J0KD5mKrp0Vvzr7lt3OU09vwQwhkpOPPYv2Y/edit?usp=sharing"",""งบพรบ!AS18"")"),0)</f>
        <v>0</v>
      </c>
      <c r="N80" s="425">
        <f ca="1">IFERROR(__xludf.DUMMYFUNCTION("IMPORTRANGE(""https://docs.google.com/spreadsheets/d/1-uDff_7J0KD5mKrp0Vvzr7lt3OU09vwQwhkpOPPYv2Y/edit?usp=sharing"",""งบพรบ!AU18"")"),0)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IFERROR(__xludf.DUMMYFUNCTION("IMPORTRANGE(""https://docs.google.com/spreadsheets/d/1eHaY18a8A9IcSdp1K8H6x8fbOy06t2VsZHhMHf-1x7Y/edit?usp=sharing"",""แผน!H18"")"),0)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IFERROR(__xludf.DUMMYFUNCTION("IMPORTRANGE(""https://docs.google.com/spreadsheets/d/1eHaY18a8A9IcSdp1K8H6x8fbOy06t2VsZHhMHf-1x7Y/edit?usp=sharing"",""แผน!I18"")"),0)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IFERROR(__xludf.DUMMYFUNCTION("IMPORTRANGE(""https://docs.google.com/spreadsheets/d/1eHaY18a8A9IcSdp1K8H6x8fbOy06t2VsZHhMHf-1x7Y/edit?usp=sharing"",""แผน!F18"")"),0)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IFERROR(__xludf.DUMMYFUNCTION("IMPORTRANGE(""https://docs.google.com/spreadsheets/d/1eHaY18a8A9IcSdp1K8H6x8fbOy06t2VsZHhMHf-1x7Y/edit?usp=sharing"",""แผน!G18"")"),0)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IFERROR(__xludf.DUMMYFUNCTION("IMPORTRANGE(""https://docs.google.com/spreadsheets/d/1eHaY18a8A9IcSdp1K8H6x8fbOy06t2VsZHhMHf-1x7Y/edit?usp=sharing"",""แผน!D18"")"),0)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IFERROR(__xludf.DUMMYFUNCTION("IMPORTRANGE(""https://docs.google.com/spreadsheets/d/1eHaY18a8A9IcSdp1K8H6x8fbOy06t2VsZHhMHf-1x7Y/edit?usp=sharing"",""แผน!E18"")"),0)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IFERROR(__xludf.DUMMYFUNCTION("IMPORTRANGE(""https://docs.google.com/spreadsheets/d/1eHaY18a8A9IcSdp1K8H6x8fbOy06t2VsZHhMHf-1x7Y/edit?usp=sharing"",""แผน!J18"")"),0)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IFERROR(__xludf.DUMMYFUNCTION("IMPORTRANGE(""https://docs.google.com/spreadsheets/d/1-uDff_7J0KD5mKrp0Vvzr7lt3OU09vwQwhkpOPPYv2Y/edit?usp=sharing"",""งบพรบ!AW18"")"),0)</f>
        <v>0</v>
      </c>
      <c r="M99" s="425">
        <f ca="1">IFERROR(__xludf.DUMMYFUNCTION("IMPORTRANGE(""https://docs.google.com/spreadsheets/d/1-uDff_7J0KD5mKrp0Vvzr7lt3OU09vwQwhkpOPPYv2Y/edit?usp=sharing"",""งบพรบ!BB18"")"),0)</f>
        <v>0</v>
      </c>
      <c r="N99" s="425">
        <f ca="1">IFERROR(__xludf.DUMMYFUNCTION("IMPORTRANGE(""https://docs.google.com/spreadsheets/d/1-uDff_7J0KD5mKrp0Vvzr7lt3OU09vwQwhkpOPPYv2Y/edit?usp=sharing"",""งบพรบ!BD18"")"),0)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IFERROR(__xludf.DUMMYFUNCTION("IMPORTRANGE(""https://docs.google.com/spreadsheets/d/1-uDff_7J0KD5mKrp0Vvzr7lt3OU09vwQwhkpOPPYv2Y/edit?usp=sharing"",""งบพรบ!AZ18"")"),0)</f>
        <v>0</v>
      </c>
      <c r="M102" s="425">
        <f ca="1">IFERROR(__xludf.DUMMYFUNCTION("IMPORTRANGE(""https://docs.google.com/spreadsheets/d/1-uDff_7J0KD5mKrp0Vvzr7lt3OU09vwQwhkpOPPYv2Y/edit?usp=sharing"",""งบพรบ!BC18"")"),0)</f>
        <v>0</v>
      </c>
      <c r="N102" s="425">
        <f ca="1">IFERROR(__xludf.DUMMYFUNCTION("IMPORTRANGE(""https://docs.google.com/spreadsheets/d/1-uDff_7J0KD5mKrp0Vvzr7lt3OU09vwQwhkpOPPYv2Y/edit?usp=sharing"",""งบพรบ!BE18"")"),0)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IFERROR(__xludf.DUMMYFUNCTION("IMPORTRANGE(""https://docs.google.com/spreadsheets/d/1eHaY18a8A9IcSdp1K8H6x8fbOy06t2VsZHhMHf-1x7Y/edit?usp=sharing"",""แผน!N18"")"),0)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IFERROR(__xludf.DUMMYFUNCTION("IMPORTRANGE(""https://docs.google.com/spreadsheets/d/1eHaY18a8A9IcSdp1K8H6x8fbOy06t2VsZHhMHf-1x7Y/edit?usp=sharing"",""แผน!O18"")"),0)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IFERROR(__xludf.DUMMYFUNCTION("IMPORTRANGE(""https://docs.google.com/spreadsheets/d/1eHaY18a8A9IcSdp1K8H6x8fbOy06t2VsZHhMHf-1x7Y/edit?usp=sharing"",""แผน!R18"")"),0)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IFERROR(__xludf.DUMMYFUNCTION("IMPORTRANGE(""https://docs.google.com/spreadsheets/d/1-uDff_7J0KD5mKrp0Vvzr7lt3OU09vwQwhkpOPPYv2Y/edit?usp=sharing"",""งบพรบ!BG18"")"),0)</f>
        <v>0</v>
      </c>
      <c r="M130" s="723">
        <f ca="1">IFERROR(__xludf.DUMMYFUNCTION("IMPORTRANGE(""https://docs.google.com/spreadsheets/d/1-uDff_7J0KD5mKrp0Vvzr7lt3OU09vwQwhkpOPPYv2Y/edit?usp=sharing"",""งบพรบ!BL18"")"),0)</f>
        <v>0</v>
      </c>
      <c r="N130" s="723">
        <f ca="1">IFERROR(__xludf.DUMMYFUNCTION("IMPORTRANGE(""https://docs.google.com/spreadsheets/d/1-uDff_7J0KD5mKrp0Vvzr7lt3OU09vwQwhkpOPPYv2Y/edit?usp=sharing"",""งบพรบ!BN18"")"),0)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IFERROR(__xludf.DUMMYFUNCTION("IMPORTRANGE(""https://docs.google.com/spreadsheets/d/1-uDff_7J0KD5mKrp0Vvzr7lt3OU09vwQwhkpOPPYv2Y/edit?usp=sharing"",""งบพรบ!BJ18"")"),0)</f>
        <v>0</v>
      </c>
      <c r="M133" s="723">
        <f ca="1">IFERROR(__xludf.DUMMYFUNCTION("IMPORTRANGE(""https://docs.google.com/spreadsheets/d/1-uDff_7J0KD5mKrp0Vvzr7lt3OU09vwQwhkpOPPYv2Y/edit?usp=sharing"",""งบพรบ!BM18"")"),0)</f>
        <v>0</v>
      </c>
      <c r="N133" s="723">
        <f ca="1">IFERROR(__xludf.DUMMYFUNCTION("IMPORTRANGE(""https://docs.google.com/spreadsheets/d/1-uDff_7J0KD5mKrp0Vvzr7lt3OU09vwQwhkpOPPYv2Y/edit?usp=sharing"",""งบพรบ!BO18"")"),0)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20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2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31600</v>
      </c>
      <c r="M139" s="577">
        <f ca="1">M140+M141</f>
        <v>26600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31600</v>
      </c>
      <c r="M141" s="425">
        <f ca="1">M144+M147</f>
        <v>26600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31600</v>
      </c>
      <c r="M142" s="425">
        <f ca="1">M143+M144</f>
        <v>26600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IFERROR(__xludf.DUMMYFUNCTION("IMPORTRANGE(""https://docs.google.com/spreadsheets/d/1-uDff_7J0KD5mKrp0Vvzr7lt3OU09vwQwhkpOPPYv2Y/edit?usp=sharing"",""งบพรบ!BQ18"")"),31600)</f>
        <v>31600</v>
      </c>
      <c r="M144" s="425">
        <f ca="1">IFERROR(__xludf.DUMMYFUNCTION("IMPORTRANGE(""https://docs.google.com/spreadsheets/d/1-uDff_7J0KD5mKrp0Vvzr7lt3OU09vwQwhkpOPPYv2Y/edit?usp=sharing"",""งบพรบ!BV18"")"),26600)</f>
        <v>26600</v>
      </c>
      <c r="N144" s="425">
        <f ca="1">IFERROR(__xludf.DUMMYFUNCTION("IMPORTRANGE(""https://docs.google.com/spreadsheets/d/1-uDff_7J0KD5mKrp0Vvzr7lt3OU09vwQwhkpOPPYv2Y/edit?usp=sharing"",""งบพรบ!BX18"")"),0)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IFERROR(__xludf.DUMMYFUNCTION("IMPORTRANGE(""https://docs.google.com/spreadsheets/d/1-uDff_7J0KD5mKrp0Vvzr7lt3OU09vwQwhkpOPPYv2Y/edit?usp=sharing"",""งบพรบ!BT18"")"),0)</f>
        <v>0</v>
      </c>
      <c r="M147" s="425">
        <f ca="1">IFERROR(__xludf.DUMMYFUNCTION("IMPORTRANGE(""https://docs.google.com/spreadsheets/d/1-uDff_7J0KD5mKrp0Vvzr7lt3OU09vwQwhkpOPPYv2Y/edit?usp=sharing"",""งบพรบ!BW18"")"),0)</f>
        <v>0</v>
      </c>
      <c r="N147" s="425">
        <f ca="1">IFERROR(__xludf.DUMMYFUNCTION("IMPORTRANGE(""https://docs.google.com/spreadsheets/d/1-uDff_7J0KD5mKrp0Vvzr7lt3OU09vwQwhkpOPPYv2Y/edit?usp=sharing"",""งบพรบ!BY18"")"),0)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IFERROR(__xludf.DUMMYFUNCTION("IMPORTRANGE(""https://docs.google.com/spreadsheets/d/1eHaY18a8A9IcSdp1K8H6x8fbOy06t2VsZHhMHf-1x7Y/edit?usp=sharing"",""แผน!U18"")"),0)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IFERROR(__xludf.DUMMYFUNCTION("IMPORTRANGE(""https://docs.google.com/spreadsheets/d/1eHaY18a8A9IcSdp1K8H6x8fbOy06t2VsZHhMHf-1x7Y/edit?usp=sharing"",""แผน!V18"")"),0)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IFERROR(__xludf.DUMMYFUNCTION("IMPORTRANGE(""https://docs.google.com/spreadsheets/d/1eHaY18a8A9IcSdp1K8H6x8fbOy06t2VsZHhMHf-1x7Y/edit?usp=sharing"",""แผน!W18"")"),20)</f>
        <v>20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IFERROR(__xludf.DUMMYFUNCTION("IMPORTRANGE(""https://docs.google.com/spreadsheets/d/1eHaY18a8A9IcSdp1K8H6x8fbOy06t2VsZHhMHf-1x7Y/edit?usp=sharing"",""แผน!X18"")"),2)</f>
        <v>2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IFERROR(__xludf.DUMMYFUNCTION("IMPORTRANGE(""https://docs.google.com/spreadsheets/d/1eHaY18a8A9IcSdp1K8H6x8fbOy06t2VsZHhMHf-1x7Y/edit?usp=sharing"",""แผน!Y18"")"),0)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15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4500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4500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4500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IFERROR(__xludf.DUMMYFUNCTION("IMPORTRANGE(""https://docs.google.com/spreadsheets/d/1-uDff_7J0KD5mKrp0Vvzr7lt3OU09vwQwhkpOPPYv2Y/edit?usp=sharing"",""งบพรบ!CA18"")"),4500)</f>
        <v>4500</v>
      </c>
      <c r="M162" s="425">
        <f ca="1">IFERROR(__xludf.DUMMYFUNCTION("IMPORTRANGE(""https://docs.google.com/spreadsheets/d/1-uDff_7J0KD5mKrp0Vvzr7lt3OU09vwQwhkpOPPYv2Y/edit?usp=sharing"",""งบพรบ!CF18"")"),0)</f>
        <v>0</v>
      </c>
      <c r="N162" s="425">
        <f ca="1">IFERROR(__xludf.DUMMYFUNCTION("IMPORTRANGE(""https://docs.google.com/spreadsheets/d/1-uDff_7J0KD5mKrp0Vvzr7lt3OU09vwQwhkpOPPYv2Y/edit?usp=sharing"",""งบพรบ!CH18"")"),0)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IFERROR(__xludf.DUMMYFUNCTION("IMPORTRANGE(""https://docs.google.com/spreadsheets/d/1-uDff_7J0KD5mKrp0Vvzr7lt3OU09vwQwhkpOPPYv2Y/edit?usp=sharing"",""งบพรบ!CD18"")"),0)</f>
        <v>0</v>
      </c>
      <c r="M165" s="425">
        <f ca="1">IFERROR(__xludf.DUMMYFUNCTION("IMPORTRANGE(""https://docs.google.com/spreadsheets/d/1-uDff_7J0KD5mKrp0Vvzr7lt3OU09vwQwhkpOPPYv2Y/edit?usp=sharing"",""งบพรบ!CG18"")"),0)</f>
        <v>0</v>
      </c>
      <c r="N165" s="425">
        <f ca="1">IFERROR(__xludf.DUMMYFUNCTION("IMPORTRANGE(""https://docs.google.com/spreadsheets/d/1-uDff_7J0KD5mKrp0Vvzr7lt3OU09vwQwhkpOPPYv2Y/edit?usp=sharing"",""งบพรบ!CI18"")"),0)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IFERROR(__xludf.DUMMYFUNCTION("IMPORTRANGE(""https://docs.google.com/spreadsheets/d/1eHaY18a8A9IcSdp1K8H6x8fbOy06t2VsZHhMHf-1x7Y/edit?usp=sharing"",""แผน!Z18"")"),15)</f>
        <v>15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15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15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19590</v>
      </c>
      <c r="O173" s="577">
        <f ca="1">IF(L173&gt;0,N173*100/L173,0)</f>
        <v>100</v>
      </c>
      <c r="P173" s="577">
        <f ca="1">IF(M173&gt;0,N173*100/M173,0)</f>
        <v>100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19590</v>
      </c>
      <c r="O175" s="425">
        <f ca="1">IF(L175&gt;0,N175*100/L175,0)</f>
        <v>100</v>
      </c>
      <c r="P175" s="425">
        <f ca="1">IF(M175&gt;0,N175*100/M175,0)</f>
        <v>100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19590</v>
      </c>
      <c r="O176" s="425">
        <f ca="1">IF(L176&gt;0,N176*100/L176,0)</f>
        <v>100</v>
      </c>
      <c r="P176" s="425">
        <f ca="1">IF(M176&gt;0,N176*100/M176,0)</f>
        <v>100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IFERROR(__xludf.DUMMYFUNCTION("IMPORTRANGE(""https://docs.google.com/spreadsheets/d/1-uDff_7J0KD5mKrp0Vvzr7lt3OU09vwQwhkpOPPYv2Y/edit?usp=sharing"",""งบพรบ!CK18"")"),19590)</f>
        <v>19590</v>
      </c>
      <c r="M178" s="425">
        <f ca="1">IFERROR(__xludf.DUMMYFUNCTION("IMPORTRANGE(""https://docs.google.com/spreadsheets/d/1-uDff_7J0KD5mKrp0Vvzr7lt3OU09vwQwhkpOPPYv2Y/edit?usp=sharing"",""งบพรบ!CP18"")"),19590)</f>
        <v>19590</v>
      </c>
      <c r="N178" s="425">
        <f ca="1">IFERROR(__xludf.DUMMYFUNCTION("IMPORTRANGE(""https://docs.google.com/spreadsheets/d/1-uDff_7J0KD5mKrp0Vvzr7lt3OU09vwQwhkpOPPYv2Y/edit?usp=sharing"",""งบพรบ!CR18"")"),19590)</f>
        <v>19590</v>
      </c>
      <c r="O178" s="425">
        <f ca="1">IF(L178&gt;0,N178*100/L178,0)</f>
        <v>100</v>
      </c>
      <c r="P178" s="425">
        <f ca="1">IF(M178&gt;0,N178*100/M178,0)</f>
        <v>100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IFERROR(__xludf.DUMMYFUNCTION("IMPORTRANGE(""https://docs.google.com/spreadsheets/d/1-uDff_7J0KD5mKrp0Vvzr7lt3OU09vwQwhkpOPPYv2Y/edit?usp=sharing"",""งบพรบ!CN18"")"),0)</f>
        <v>0</v>
      </c>
      <c r="M181" s="425">
        <f ca="1">IFERROR(__xludf.DUMMYFUNCTION("IMPORTRANGE(""https://docs.google.com/spreadsheets/d/1-uDff_7J0KD5mKrp0Vvzr7lt3OU09vwQwhkpOPPYv2Y/edit?usp=sharing"",""งบพรบ!CQ18"")"),0)</f>
        <v>0</v>
      </c>
      <c r="N181" s="425">
        <f ca="1">IFERROR(__xludf.DUMMYFUNCTION("IMPORTRANGE(""https://docs.google.com/spreadsheets/d/1-uDff_7J0KD5mKrp0Vvzr7lt3OU09vwQwhkpOPPYv2Y/edit?usp=sharing"",""งบพรบ!CS18"")"),0)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IFERROR(__xludf.DUMMYFUNCTION("IMPORTRANGE(""https://docs.google.com/spreadsheets/d/1eHaY18a8A9IcSdp1K8H6x8fbOy06t2VsZHhMHf-1x7Y/edit?usp=sharing"",""แผน!AA18"")"),7)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161500</v>
      </c>
      <c r="M186" s="577">
        <f ca="1">M187+M188</f>
        <v>105500</v>
      </c>
      <c r="N186" s="577">
        <f ca="1">N187+N188</f>
        <v>9962</v>
      </c>
      <c r="O186" s="577">
        <f ca="1">IF(L186&gt;0,N186*100/L186,0)</f>
        <v>6.1684210526315786</v>
      </c>
      <c r="P186" s="577">
        <f ca="1">IF(M186&gt;0,N186*100/M186,0)</f>
        <v>9.442654028436019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161500</v>
      </c>
      <c r="M188" s="425">
        <f ca="1">M191+M194</f>
        <v>105500</v>
      </c>
      <c r="N188" s="425">
        <f ca="1">N191+N194</f>
        <v>9962</v>
      </c>
      <c r="O188" s="425">
        <f ca="1">IF(L188&gt;0,N188*100/L188,0)</f>
        <v>6.1684210526315786</v>
      </c>
      <c r="P188" s="425">
        <f ca="1">IF(M188&gt;0,N188*100/M188,0)</f>
        <v>9.442654028436019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161500</v>
      </c>
      <c r="M189" s="425">
        <f ca="1">M190+M191</f>
        <v>105500</v>
      </c>
      <c r="N189" s="425">
        <f ca="1">N190+N191</f>
        <v>9962</v>
      </c>
      <c r="O189" s="425">
        <f ca="1">IF(L189&gt;0,N189*100/L189,0)</f>
        <v>6.1684210526315786</v>
      </c>
      <c r="P189" s="425">
        <f ca="1">IF(M189&gt;0,N189*100/M189,0)</f>
        <v>9.442654028436019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IFERROR(__xludf.DUMMYFUNCTION("IMPORTRANGE(""https://docs.google.com/spreadsheets/d/1-uDff_7J0KD5mKrp0Vvzr7lt3OU09vwQwhkpOPPYv2Y/edit?usp=sharing"",""งบพรบ!CU18"")"),161500)</f>
        <v>161500</v>
      </c>
      <c r="M191" s="425">
        <f ca="1">IFERROR(__xludf.DUMMYFUNCTION("IMPORTRANGE(""https://docs.google.com/spreadsheets/d/1-uDff_7J0KD5mKrp0Vvzr7lt3OU09vwQwhkpOPPYv2Y/edit?usp=sharing"",""งบพรบ!CZ18"")"),105500)</f>
        <v>105500</v>
      </c>
      <c r="N191" s="425">
        <f ca="1">IFERROR(__xludf.DUMMYFUNCTION("IMPORTRANGE(""https://docs.google.com/spreadsheets/d/1-uDff_7J0KD5mKrp0Vvzr7lt3OU09vwQwhkpOPPYv2Y/edit?usp=sharing"",""งบพรบ!DB18"")"),9962)</f>
        <v>9962</v>
      </c>
      <c r="O191" s="425">
        <f ca="1">IF(L191&gt;0,N191*100/L191,0)</f>
        <v>6.1684210526315786</v>
      </c>
      <c r="P191" s="425">
        <f ca="1">IF(M191&gt;0,N191*100/M191,0)</f>
        <v>9.442654028436019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IFERROR(__xludf.DUMMYFUNCTION("IMPORTRANGE(""https://docs.google.com/spreadsheets/d/1-uDff_7J0KD5mKrp0Vvzr7lt3OU09vwQwhkpOPPYv2Y/edit?usp=sharing"",""งบพรบ!CX18"")"),0)</f>
        <v>0</v>
      </c>
      <c r="M194" s="425">
        <f ca="1">IFERROR(__xludf.DUMMYFUNCTION("IMPORTRANGE(""https://docs.google.com/spreadsheets/d/1-uDff_7J0KD5mKrp0Vvzr7lt3OU09vwQwhkpOPPYv2Y/edit?usp=sharing"",""งบพรบ!DA18"")"),0)</f>
        <v>0</v>
      </c>
      <c r="N194" s="425">
        <f ca="1">IFERROR(__xludf.DUMMYFUNCTION("IMPORTRANGE(""https://docs.google.com/spreadsheets/d/1-uDff_7J0KD5mKrp0Vvzr7lt3OU09vwQwhkpOPPYv2Y/edit?usp=sharing"",""งบพรบ!DC18"")"),0)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IFERROR(__xludf.DUMMYFUNCTION("IMPORTRANGE(""https://docs.google.com/spreadsheets/d/1eHaY18a8A9IcSdp1K8H6x8fbOy06t2VsZHhMHf-1x7Y/edit?usp=sharing"",""แผน!AB18"")"),6000)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IFERROR(__xludf.DUMMYFUNCTION("IMPORTRANGE(""https://docs.google.com/spreadsheets/d/1eHaY18a8A9IcSdp1K8H6x8fbOy06t2VsZHhMHf-1x7Y/edit?usp=sharing"",""แผน!AE18"")"),4)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4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52000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IFERROR(__xludf.DUMMYFUNCTION("IMPORTRANGE(""https://docs.google.com/spreadsheets/d/1eHaY18a8A9IcSdp1K8H6x8fbOy06t2VsZHhMHf-1x7Y/edit?usp=sharing"",""แผน!AG18"")"),4000)</f>
        <v>4000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IFERROR(__xludf.DUMMYFUNCTION("IMPORTRANGE(""https://docs.google.com/spreadsheets/d/1eHaY18a8A9IcSdp1K8H6x8fbOy06t2VsZHhMHf-1x7Y/edit?usp=sharing"",""แผน!AH18"")"),0)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IFERROR(__xludf.DUMMYFUNCTION("IMPORTRANGE(""https://docs.google.com/spreadsheets/d/1eHaY18a8A9IcSdp1K8H6x8fbOy06t2VsZHhMHf-1x7Y/edit?usp=sharing"",""แผน!AI18"")"),32000)</f>
        <v>32000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IFERROR(__xludf.DUMMYFUNCTION("IMPORTRANGE(""https://docs.google.com/spreadsheets/d/1eHaY18a8A9IcSdp1K8H6x8fbOy06t2VsZHhMHf-1x7Y/edit?usp=sharing"",""แผน!AJ18"")"),16000)</f>
        <v>16000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IFERROR(__xludf.DUMMYFUNCTION("IMPORTRANGE(""https://docs.google.com/spreadsheets/d/1eHaY18a8A9IcSdp1K8H6x8fbOy06t2VsZHhMHf-1x7Y/edit?usp=sharing"",""แผน!AK18"")"),4)</f>
        <v>4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IFERROR(__xludf.DUMMYFUNCTION("IMPORTRANGE(""https://docs.google.com/spreadsheets/d/1eHaY18a8A9IcSdp1K8H6x8fbOy06t2VsZHhMHf-1x7Y/edit?usp=sharing"",""แผน!JX18"")"),4)</f>
        <v>4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IFERROR(__xludf.DUMMYFUNCTION("IMPORTRANGE(""https://docs.google.com/spreadsheets/d/1eHaY18a8A9IcSdp1K8H6x8fbOy06t2VsZHhMHf-1x7Y/edit?usp=sharing"",""แผน!JY18"")"),0)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IFERROR(__xludf.DUMMYFUNCTION("IMPORTRANGE(""https://docs.google.com/spreadsheets/d/1eHaY18a8A9IcSdp1K8H6x8fbOy06t2VsZHhMHf-1x7Y/edit?usp=sharing"",""แผน!AM18"")"),0)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IFERROR(__xludf.DUMMYFUNCTION("IMPORTRANGE(""https://docs.google.com/spreadsheets/d/1eHaY18a8A9IcSdp1K8H6x8fbOy06t2VsZHhMHf-1x7Y/edit?usp=sharing"",""แผน!AN18"")"),0)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IFERROR(__xludf.DUMMYFUNCTION("IMPORTRANGE(""https://docs.google.com/spreadsheets/d/1eHaY18a8A9IcSdp1K8H6x8fbOy06t2VsZHhMHf-1x7Y/edit?usp=sharing"",""แผน!AO18"")"),0)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IFERROR(__xludf.DUMMYFUNCTION("IMPORTRANGE(""https://docs.google.com/spreadsheets/d/1eHaY18a8A9IcSdp1K8H6x8fbOy06t2VsZHhMHf-1x7Y/edit?usp=sharing"",""แผน!AP18"")"),0)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IFERROR(__xludf.DUMMYFUNCTION("IMPORTRANGE(""https://docs.google.com/spreadsheets/d/1eHaY18a8A9IcSdp1K8H6x8fbOy06t2VsZHhMHf-1x7Y/edit?usp=sharing"",""แผน!AP18"")"),0)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12500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IFERROR(__xludf.DUMMYFUNCTION("IMPORTRANGE(""https://docs.google.com/spreadsheets/d/1eHaY18a8A9IcSdp1K8H6x8fbOy06t2VsZHhMHf-1x7Y/edit?usp=sharing"",""แผน!AR18"")"),11000)</f>
        <v>11000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IFERROR(__xludf.DUMMYFUNCTION("IMPORTRANGE(""https://docs.google.com/spreadsheets/d/1eHaY18a8A9IcSdp1K8H6x8fbOy06t2VsZHhMHf-1x7Y/edit?usp=sharing"",""แผน!AS18"")"),1500)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IFERROR(__xludf.DUMMYFUNCTION("IMPORTRANGE(""https://docs.google.com/spreadsheets/d/1eHaY18a8A9IcSdp1K8H6x8fbOy06t2VsZHhMHf-1x7Y/edit?usp=sharing"",""แผน!AT18"")"),0)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IFERROR(__xludf.DUMMYFUNCTION("IMPORTRANGE(""https://docs.google.com/spreadsheets/d/1eHaY18a8A9IcSdp1K8H6x8fbOy06t2VsZHhMHf-1x7Y/edit?usp=sharing"",""แผน!AV18"")"),100000)</f>
        <v>100000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IFERROR(__xludf.DUMMYFUNCTION("IMPORTRANGE(""https://docs.google.com/spreadsheets/d/1eHaY18a8A9IcSdp1K8H6x8fbOy06t2VsZHhMHf-1x7Y/edit?usp=sharing"",""แผน!AV18"")"),100000)</f>
        <v>100000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IFERROR(__xludf.DUMMYFUNCTION("IMPORTRANGE(""https://docs.google.com/spreadsheets/d/1eHaY18a8A9IcSdp1K8H6x8fbOy06t2VsZHhMHf-1x7Y/edit?usp=sharing"",""แผน!AU18"")"),0)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IFERROR(__xludf.DUMMYFUNCTION("IMPORTRANGE(""https://docs.google.com/spreadsheets/d/1eHaY18a8A9IcSdp1K8H6x8fbOy06t2VsZHhMHf-1x7Y/edit?usp=sharing"",""แผน!AX18"")"),0)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IFERROR(__xludf.DUMMYFUNCTION("IMPORTRANGE(""https://docs.google.com/spreadsheets/d/1eHaY18a8A9IcSdp1K8H6x8fbOy06t2VsZHhMHf-1x7Y/edit?usp=sharing"",""แผน!AY18"")"),0)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IFERROR(__xludf.DUMMYFUNCTION("IMPORTRANGE(""https://docs.google.com/spreadsheets/d/1eHaY18a8A9IcSdp1K8H6x8fbOy06t2VsZHhMHf-1x7Y/edit?usp=sharing"",""แผน!AZ18"")"),0)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IFERROR(__xludf.DUMMYFUNCTION("IMPORTRANGE(""https://docs.google.com/spreadsheets/d/1eHaY18a8A9IcSdp1K8H6x8fbOy06t2VsZHhMHf-1x7Y/edit?usp=sharing"",""แผน!BA18"")"),0)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IFERROR(__xludf.DUMMYFUNCTION("IMPORTRANGE(""https://docs.google.com/spreadsheets/d/1eHaY18a8A9IcSdp1K8H6x8fbOy06t2VsZHhMHf-1x7Y/edit?usp=sharing"",""แผน!BG18"")"),0)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IFERROR(__xludf.DUMMYFUNCTION("IMPORTRANGE(""https://docs.google.com/spreadsheets/d/1eHaY18a8A9IcSdp1K8H6x8fbOy06t2VsZHhMHf-1x7Y/edit?usp=sharing"",""แผน!BB18"")"),0)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IFERROR(__xludf.DUMMYFUNCTION("IMPORTRANGE(""https://docs.google.com/spreadsheets/d/1eHaY18a8A9IcSdp1K8H6x8fbOy06t2VsZHhMHf-1x7Y/edit?usp=sharing"",""แผน!BC18"")"),0)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IFERROR(__xludf.DUMMYFUNCTION("IMPORTRANGE(""https://docs.google.com/spreadsheets/d/1eHaY18a8A9IcSdp1K8H6x8fbOy06t2VsZHhMHf-1x7Y/edit?usp=sharing"",""แผน!BD18"")"),0)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IFERROR(__xludf.DUMMYFUNCTION("IMPORTRANGE(""https://docs.google.com/spreadsheets/d/1eHaY18a8A9IcSdp1K8H6x8fbOy06t2VsZHhMHf-1x7Y/edit?usp=sharing"",""แผน!BE18"")"),0)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IFERROR(__xludf.DUMMYFUNCTION("IMPORTRANGE(""https://docs.google.com/spreadsheets/d/1eHaY18a8A9IcSdp1K8H6x8fbOy06t2VsZHhMHf-1x7Y/edit?usp=sharing"",""แผน!BH18"")"),0)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IFERROR(__xludf.DUMMYFUNCTION("IMPORTRANGE(""https://docs.google.com/spreadsheets/d/1-uDff_7J0KD5mKrp0Vvzr7lt3OU09vwQwhkpOPPYv2Y/edit?usp=sharing"",""งบพรบ!DE18"")"),0)</f>
        <v>0</v>
      </c>
      <c r="M271" s="521">
        <f ca="1">IFERROR(__xludf.DUMMYFUNCTION("IMPORTRANGE(""https://docs.google.com/spreadsheets/d/1-uDff_7J0KD5mKrp0Vvzr7lt3OU09vwQwhkpOPPYv2Y/edit?usp=sharing"",""งบพรบ!DJ18"")"),0)</f>
        <v>0</v>
      </c>
      <c r="N271" s="521">
        <f ca="1">IFERROR(__xludf.DUMMYFUNCTION("IMPORTRANGE(""https://docs.google.com/spreadsheets/d/1-uDff_7J0KD5mKrp0Vvzr7lt3OU09vwQwhkpOPPYv2Y/edit?usp=sharing"",""งบพรบ!DL18"")"),0)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IFERROR(__xludf.DUMMYFUNCTION("IMPORTRANGE(""https://docs.google.com/spreadsheets/d/1-uDff_7J0KD5mKrp0Vvzr7lt3OU09vwQwhkpOPPYv2Y/edit?usp=sharing"",""งบพรบ!DH18"")"),0)</f>
        <v>0</v>
      </c>
      <c r="M274" s="521">
        <f ca="1">IFERROR(__xludf.DUMMYFUNCTION("IMPORTRANGE(""https://docs.google.com/spreadsheets/d/1-uDff_7J0KD5mKrp0Vvzr7lt3OU09vwQwhkpOPPYv2Y/edit?usp=sharing"",""งบพรบ!DK18"")"),0)</f>
        <v>0</v>
      </c>
      <c r="N274" s="521">
        <f ca="1">IFERROR(__xludf.DUMMYFUNCTION("IMPORTRANGE(""https://docs.google.com/spreadsheets/d/1-uDff_7J0KD5mKrp0Vvzr7lt3OU09vwQwhkpOPPYv2Y/edit?usp=sharing"",""งบพรบ!DM18"")"),0)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50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500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193220</v>
      </c>
      <c r="M282" s="577">
        <f ca="1">M283+M284</f>
        <v>158980</v>
      </c>
      <c r="N282" s="577">
        <f ca="1">N283+N284</f>
        <v>25876</v>
      </c>
      <c r="O282" s="577">
        <f ca="1">IF(L282&gt;0,N282*100/L282,0)</f>
        <v>13.391988406997205</v>
      </c>
      <c r="P282" s="577">
        <f ca="1">IF(M282&gt;0,N282*100/M282,0)</f>
        <v>16.276261164926407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193220</v>
      </c>
      <c r="M284" s="425">
        <f ca="1">M287+M290</f>
        <v>158980</v>
      </c>
      <c r="N284" s="425">
        <f ca="1">N287+N290</f>
        <v>25876</v>
      </c>
      <c r="O284" s="425">
        <f ca="1">IF(L284&gt;0,N284*100/L284,0)</f>
        <v>13.391988406997205</v>
      </c>
      <c r="P284" s="425">
        <f ca="1">IF(M284&gt;0,N284*100/M284,0)</f>
        <v>16.276261164926407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193220</v>
      </c>
      <c r="M285" s="425">
        <f ca="1">M286+M287</f>
        <v>158980</v>
      </c>
      <c r="N285" s="425">
        <f ca="1">N286+N287</f>
        <v>25876</v>
      </c>
      <c r="O285" s="425">
        <f ca="1">IF(L285&gt;0,N285*100/L285,0)</f>
        <v>13.391988406997205</v>
      </c>
      <c r="P285" s="425">
        <f ca="1">IF(M285&gt;0,N285*100/M285,0)</f>
        <v>16.276261164926407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IFERROR(__xludf.DUMMYFUNCTION("IMPORTRANGE(""https://docs.google.com/spreadsheets/d/1-uDff_7J0KD5mKrp0Vvzr7lt3OU09vwQwhkpOPPYv2Y/edit?usp=sharing"",""งบพรบ!DO18"")"),193220)</f>
        <v>193220</v>
      </c>
      <c r="M287" s="425">
        <f ca="1">IFERROR(__xludf.DUMMYFUNCTION("IMPORTRANGE(""https://docs.google.com/spreadsheets/d/1-uDff_7J0KD5mKrp0Vvzr7lt3OU09vwQwhkpOPPYv2Y/edit?usp=sharing"",""งบพรบ!DT18"")"),158980)</f>
        <v>158980</v>
      </c>
      <c r="N287" s="425">
        <f ca="1">IFERROR(__xludf.DUMMYFUNCTION("IMPORTRANGE(""https://docs.google.com/spreadsheets/d/1-uDff_7J0KD5mKrp0Vvzr7lt3OU09vwQwhkpOPPYv2Y/edit?usp=sharing"",""งบพรบ!DV18"")"),25876)</f>
        <v>25876</v>
      </c>
      <c r="O287" s="425">
        <f ca="1">IF(L287&gt;0,N287*100/L287,0)</f>
        <v>13.391988406997205</v>
      </c>
      <c r="P287" s="425">
        <f ca="1">IF(M287&gt;0,N287*100/M287,0)</f>
        <v>16.276261164926407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IFERROR(__xludf.DUMMYFUNCTION("IMPORTRANGE(""https://docs.google.com/spreadsheets/d/1-uDff_7J0KD5mKrp0Vvzr7lt3OU09vwQwhkpOPPYv2Y/edit?usp=sharing"",""งบพรบ!DR18"")"),0)</f>
        <v>0</v>
      </c>
      <c r="M290" s="425">
        <f ca="1">IFERROR(__xludf.DUMMYFUNCTION("IMPORTRANGE(""https://docs.google.com/spreadsheets/d/1-uDff_7J0KD5mKrp0Vvzr7lt3OU09vwQwhkpOPPYv2Y/edit?usp=sharing"",""งบพรบ!DU18"")"),0)</f>
        <v>0</v>
      </c>
      <c r="N290" s="425">
        <f ca="1">IFERROR(__xludf.DUMMYFUNCTION("IMPORTRANGE(""https://docs.google.com/spreadsheets/d/1-uDff_7J0KD5mKrp0Vvzr7lt3OU09vwQwhkpOPPYv2Y/edit?usp=sharing"",""งบพรบ!DW18"")"),0)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IFERROR(__xludf.DUMMYFUNCTION("IMPORTRANGE(""https://docs.google.com/spreadsheets/d/1eHaY18a8A9IcSdp1K8H6x8fbOy06t2VsZHhMHf-1x7Y/edit?usp=sharing"",""แผน!EE18"")"),500)</f>
        <v>500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IFERROR(__xludf.DUMMYFUNCTION("IMPORTRANGE(""https://docs.google.com/spreadsheets/d/1eHaY18a8A9IcSdp1K8H6x8fbOy06t2VsZHhMHf-1x7Y/edit?usp=sharing"",""แผน!ED18"")"),50)</f>
        <v>50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IFERROR(__xludf.DUMMYFUNCTION("IMPORTRANGE(""https://docs.google.com/spreadsheets/d/1eHaY18a8A9IcSdp1K8H6x8fbOy06t2VsZHhMHf-1x7Y/edit?usp=sharing"",""แผน!ED18"")"),50)</f>
        <v>50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IFERROR(__xludf.DUMMYFUNCTION("IMPORTRANGE(""https://docs.google.com/spreadsheets/d/1eHaY18a8A9IcSdp1K8H6x8fbOy06t2VsZHhMHf-1x7Y/edit?usp=sharing"",""แผน!ED18"")"),50)</f>
        <v>50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25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152100</v>
      </c>
      <c r="M303" s="577">
        <f ca="1">M304+M305</f>
        <v>115000</v>
      </c>
      <c r="N303" s="577">
        <f ca="1">N304+N305</f>
        <v>7300</v>
      </c>
      <c r="O303" s="577">
        <f ca="1">IF(L303&gt;0,N303*100/L303,0)</f>
        <v>4.7994740302432612</v>
      </c>
      <c r="P303" s="577">
        <f ca="1">IF(M303&gt;0,N303*100/M303,0)</f>
        <v>6.3478260869565215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152100</v>
      </c>
      <c r="M305" s="425">
        <f ca="1">M308+M311</f>
        <v>115000</v>
      </c>
      <c r="N305" s="425">
        <f ca="1">N308+N311</f>
        <v>7300</v>
      </c>
      <c r="O305" s="425">
        <f ca="1">IF(L305&gt;0,N305*100/L305,0)</f>
        <v>4.7994740302432612</v>
      </c>
      <c r="P305" s="425">
        <f ca="1">IF(M305&gt;0,N305*100/M305,0)</f>
        <v>6.3478260869565215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152100</v>
      </c>
      <c r="M306" s="425">
        <f ca="1">M307+M308</f>
        <v>115000</v>
      </c>
      <c r="N306" s="425">
        <f ca="1">N307+N308</f>
        <v>7300</v>
      </c>
      <c r="O306" s="425">
        <f ca="1">IF(L306&gt;0,N306*100/L306,0)</f>
        <v>4.7994740302432612</v>
      </c>
      <c r="P306" s="425">
        <f ca="1">IF(M306&gt;0,N306*100/M306,0)</f>
        <v>6.3478260869565215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IFERROR(__xludf.DUMMYFUNCTION("IMPORTRANGE(""https://docs.google.com/spreadsheets/d/1-uDff_7J0KD5mKrp0Vvzr7lt3OU09vwQwhkpOPPYv2Y/edit?usp=sharing"",""งบพรบ!DY18"")"),152100)</f>
        <v>152100</v>
      </c>
      <c r="M308" s="425">
        <f ca="1">IFERROR(__xludf.DUMMYFUNCTION("IMPORTRANGE(""https://docs.google.com/spreadsheets/d/1-uDff_7J0KD5mKrp0Vvzr7lt3OU09vwQwhkpOPPYv2Y/edit?usp=sharing"",""งบพรบ!ED18"")"),115000)</f>
        <v>115000</v>
      </c>
      <c r="N308" s="425">
        <f ca="1">IFERROR(__xludf.DUMMYFUNCTION("IMPORTRANGE(""https://docs.google.com/spreadsheets/d/1-uDff_7J0KD5mKrp0Vvzr7lt3OU09vwQwhkpOPPYv2Y/edit?usp=sharing"",""งบพรบ!EF18"")"),7300)</f>
        <v>7300</v>
      </c>
      <c r="O308" s="425">
        <f ca="1">IF(L308&gt;0,N308*100/L308,0)</f>
        <v>4.7994740302432612</v>
      </c>
      <c r="P308" s="425">
        <f ca="1">IF(M308&gt;0,N308*100/M308,0)</f>
        <v>6.3478260869565215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IFERROR(__xludf.DUMMYFUNCTION("IMPORTRANGE(""https://docs.google.com/spreadsheets/d/1-uDff_7J0KD5mKrp0Vvzr7lt3OU09vwQwhkpOPPYv2Y/edit?usp=sharing"",""งบพรบ!EB18"")"),0)</f>
        <v>0</v>
      </c>
      <c r="M311" s="425">
        <f ca="1">IFERROR(__xludf.DUMMYFUNCTION("IMPORTRANGE(""https://docs.google.com/spreadsheets/d/1-uDff_7J0KD5mKrp0Vvzr7lt3OU09vwQwhkpOPPYv2Y/edit?usp=sharing"",""งบพรบ!EE18"")"),0)</f>
        <v>0</v>
      </c>
      <c r="N311" s="425">
        <f ca="1">IFERROR(__xludf.DUMMYFUNCTION("IMPORTRANGE(""https://docs.google.com/spreadsheets/d/1-uDff_7J0KD5mKrp0Vvzr7lt3OU09vwQwhkpOPPYv2Y/edit?usp=sharing"",""งบพรบ!EG18"")"),0)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IFERROR(__xludf.DUMMYFUNCTION("IMPORTRANGE(""https://docs.google.com/spreadsheets/d/1eHaY18a8A9IcSdp1K8H6x8fbOy06t2VsZHhMHf-1x7Y/edit?usp=sharing"",""แผน!EF18"")"),25)</f>
        <v>25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IFERROR(__xludf.DUMMYFUNCTION("IMPORTRANGE(""https://docs.google.com/spreadsheets/d/1eHaY18a8A9IcSdp1K8H6x8fbOy06t2VsZHhMHf-1x7Y/edit?usp=sharing"",""แผน!EG18"")"),5)</f>
        <v>5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IFERROR(__xludf.DUMMYFUNCTION("IMPORTRANGE(""https://docs.google.com/spreadsheets/d/1eHaY18a8A9IcSdp1K8H6x8fbOy06t2VsZHhMHf-1x7Y/edit?usp=sharing"",""แผน!EH18"")"),25)</f>
        <v>25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IFERROR(__xludf.DUMMYFUNCTION("IMPORTRANGE(""https://docs.google.com/spreadsheets/d/1eHaY18a8A9IcSdp1K8H6x8fbOy06t2VsZHhMHf-1x7Y/edit?usp=sharing"",""แผน!EI18"")"),5)</f>
        <v>5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IFERROR(__xludf.DUMMYFUNCTION("IMPORTRANGE(""https://docs.google.com/spreadsheets/d/1-uDff_7J0KD5mKrp0Vvzr7lt3OU09vwQwhkpOPPYv2Y/edit?usp=sharing"",""งบพรบ!EI18"")"),0)</f>
        <v>0</v>
      </c>
      <c r="M325" s="425">
        <f ca="1">IFERROR(__xludf.DUMMYFUNCTION("IMPORTRANGE(""https://docs.google.com/spreadsheets/d/1-uDff_7J0KD5mKrp0Vvzr7lt3OU09vwQwhkpOPPYv2Y/edit?usp=sharing"",""งบพรบ!EN18"")"),0)</f>
        <v>0</v>
      </c>
      <c r="N325" s="425">
        <f ca="1">IFERROR(__xludf.DUMMYFUNCTION("IMPORTRANGE(""https://docs.google.com/spreadsheets/d/1-uDff_7J0KD5mKrp0Vvzr7lt3OU09vwQwhkpOPPYv2Y/edit?usp=sharing"",""งบพรบ!EP18"")"),0)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IFERROR(__xludf.DUMMYFUNCTION("IMPORTRANGE(""https://docs.google.com/spreadsheets/d/1-uDff_7J0KD5mKrp0Vvzr7lt3OU09vwQwhkpOPPYv2Y/edit?usp=sharing"",""งบพรบ!EL18"")"),0)</f>
        <v>0</v>
      </c>
      <c r="M328" s="425">
        <f ca="1">IFERROR(__xludf.DUMMYFUNCTION("IMPORTRANGE(""https://docs.google.com/spreadsheets/d/1-uDff_7J0KD5mKrp0Vvzr7lt3OU09vwQwhkpOPPYv2Y/edit?usp=sharing"",""งบพรบ!EO18"")"),0)</f>
        <v>0</v>
      </c>
      <c r="N328" s="425">
        <f ca="1">IFERROR(__xludf.DUMMYFUNCTION("IMPORTRANGE(""https://docs.google.com/spreadsheets/d/1-uDff_7J0KD5mKrp0Vvzr7lt3OU09vwQwhkpOPPYv2Y/edit?usp=sharing"",""งบพรบ!EQ18"")"),0)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IFERROR(__xludf.DUMMYFUNCTION("IMPORTRANGE(""https://docs.google.com/spreadsheets/d/1eHaY18a8A9IcSdp1K8H6x8fbOy06t2VsZHhMHf-1x7Y/edit?usp=sharing"",""แผน!EJ18"")"),0)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2340</v>
      </c>
      <c r="J332" s="402">
        <f ca="1">J344+J347+J348+J349+J353</f>
        <v>1355</v>
      </c>
      <c r="K332" s="403">
        <f ca="1">IF(I332&gt;0,J332*100/I332,0)</f>
        <v>57.905982905982903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113000</v>
      </c>
      <c r="M333" s="577">
        <f ca="1">M334+M335</f>
        <v>88150</v>
      </c>
      <c r="N333" s="577">
        <f ca="1">N334+N335</f>
        <v>18624</v>
      </c>
      <c r="O333" s="577">
        <f ca="1">IF(L333&gt;0,N333*100/L333,0)</f>
        <v>16.481415929203539</v>
      </c>
      <c r="P333" s="577">
        <f ca="1">IF(M333&gt;0,N333*100/M333,0)</f>
        <v>21.127623369256948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113000</v>
      </c>
      <c r="M335" s="425">
        <f ca="1">M338+M341</f>
        <v>88150</v>
      </c>
      <c r="N335" s="425">
        <f ca="1">N338+N341</f>
        <v>18624</v>
      </c>
      <c r="O335" s="425">
        <f ca="1">IF(L335&gt;0,N335*100/L335,0)</f>
        <v>16.481415929203539</v>
      </c>
      <c r="P335" s="425">
        <f ca="1">IF(M335&gt;0,N335*100/M335,0)</f>
        <v>21.127623369256948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113000</v>
      </c>
      <c r="M336" s="425">
        <f ca="1">M337+M338</f>
        <v>88150</v>
      </c>
      <c r="N336" s="425">
        <f ca="1">N337+N338</f>
        <v>18624</v>
      </c>
      <c r="O336" s="425">
        <f ca="1">IF(L336&gt;0,N336*100/L336,0)</f>
        <v>16.481415929203539</v>
      </c>
      <c r="P336" s="425">
        <f ca="1">IF(M336&gt;0,N336*100/M336,0)</f>
        <v>21.127623369256948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IFERROR(__xludf.DUMMYFUNCTION("IMPORTRANGE(""https://docs.google.com/spreadsheets/d/1-uDff_7J0KD5mKrp0Vvzr7lt3OU09vwQwhkpOPPYv2Y/edit?usp=sharing"",""งบพรบ!ES18"")"),113000)</f>
        <v>113000</v>
      </c>
      <c r="M338" s="425">
        <f ca="1">IFERROR(__xludf.DUMMYFUNCTION("IMPORTRANGE(""https://docs.google.com/spreadsheets/d/1-uDff_7J0KD5mKrp0Vvzr7lt3OU09vwQwhkpOPPYv2Y/edit?usp=sharing"",""งบพรบ!EX18"")"),88150)</f>
        <v>88150</v>
      </c>
      <c r="N338" s="425">
        <f ca="1">IFERROR(__xludf.DUMMYFUNCTION("IMPORTRANGE(""https://docs.google.com/spreadsheets/d/1-uDff_7J0KD5mKrp0Vvzr7lt3OU09vwQwhkpOPPYv2Y/edit?usp=sharing"",""งบพรบ!EZ18"")"),18624)</f>
        <v>18624</v>
      </c>
      <c r="O338" s="425">
        <f ca="1">IF(L338&gt;0,N338*100/L338,0)</f>
        <v>16.481415929203539</v>
      </c>
      <c r="P338" s="425">
        <f ca="1">IF(M338&gt;0,N338*100/M338,0)</f>
        <v>21.127623369256948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IFERROR(__xludf.DUMMYFUNCTION("IMPORTRANGE(""https://docs.google.com/spreadsheets/d/1-uDff_7J0KD5mKrp0Vvzr7lt3OU09vwQwhkpOPPYv2Y/edit?usp=sharing"",""งบพรบ!EV18"")"),0)</f>
        <v>0</v>
      </c>
      <c r="M341" s="425">
        <f ca="1">IFERROR(__xludf.DUMMYFUNCTION("IMPORTRANGE(""https://docs.google.com/spreadsheets/d/1-uDff_7J0KD5mKrp0Vvzr7lt3OU09vwQwhkpOPPYv2Y/edit?usp=sharing"",""งบพรบ!EY18"")"),0)</f>
        <v>0</v>
      </c>
      <c r="N341" s="425">
        <f ca="1">IFERROR(__xludf.DUMMYFUNCTION("IMPORTRANGE(""https://docs.google.com/spreadsheets/d/1-uDff_7J0KD5mKrp0Vvzr7lt3OU09vwQwhkpOPPYv2Y/edit?usp=sharing"",""งบพรบ!FA18"")"),0)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726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IFERROR(__xludf.DUMMYFUNCTION("IMPORTRANGE(""https://docs.google.com/spreadsheets/d/1eHaY18a8A9IcSdp1K8H6x8fbOy06t2VsZHhMHf-1x7Y/edit?usp=sharing"",""แผน!EK18"")"),2340)</f>
        <v>2340</v>
      </c>
      <c r="J344" s="424">
        <f ca="1">IFERROR(__xludf.DUMMYFUNCTION("IMPORTRANGE(""https://docs.google.com/spreadsheets/d/1awYsYK3VOup2i3Pq_Yjnu8DRu_mYwSBnCR2QPthd0rU/edit?usp=sharing"",""ศูนย์ยกเว้นโฉนด!D18"")"),725)</f>
        <v>725</v>
      </c>
      <c r="K344" s="425">
        <f ca="1">IF(I344&gt;0,J344*100/I344,0)</f>
        <v>30.982905982905983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IFERROR(__xludf.DUMMYFUNCTION("IMPORTRANGE(""https://docs.google.com/spreadsheets/d/1eHaY18a8A9IcSdp1K8H6x8fbOy06t2VsZHhMHf-1x7Y/edit?usp=sharing"",""แผน!EL18"")"),5)</f>
        <v>5</v>
      </c>
      <c r="J346" s="424">
        <f ca="1">IFERROR(__xludf.DUMMYFUNCTION("IMPORTRANGE(""https://docs.google.com/spreadsheets/d/1awYsYK3VOup2i3Pq_Yjnu8DRu_mYwSBnCR2QPthd0rU/edit?usp=sharing"",""ศูนย์รวม!E18"")"),0)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IFERROR(__xludf.DUMMYFUNCTION("IMPORTRANGE(""https://docs.google.com/spreadsheets/d/1awYsYK3VOup2i3Pq_Yjnu8DRu_mYwSBnCR2QPthd0rU/edit?usp=sharing"",""ศูนย์ยกเว้นโฉนด!F18"")"),0)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IFERROR(__xludf.DUMMYFUNCTION("IMPORTRANGE(""https://docs.google.com/spreadsheets/d/1awYsYK3VOup2i3Pq_Yjnu8DRu_mYwSBnCR2QPthd0rU/edit?usp=sharing"",""ศูนย์ยกเว้นโฉนด!G18"")"),1)</f>
        <v>1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IFERROR(__xludf.DUMMYFUNCTION("IMPORTRANGE(""https://docs.google.com/spreadsheets/d/1awYsYK3VOup2i3Pq_Yjnu8DRu_mYwSBnCR2QPthd0rU/edit?usp=sharing"",""ศูนย์ยกเว้นโฉนด!H18"")"),0)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1119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IFERROR(__xludf.DUMMYFUNCTION("IMPORTRANGE(""https://docs.google.com/spreadsheets/d/1awYsYK3VOup2i3Pq_Yjnu8DRu_mYwSBnCR2QPthd0rU/edit?usp=sharing"",""โฉนดM3!G18"")"),490)</f>
        <v>490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IFERROR(__xludf.DUMMYFUNCTION("IMPORTRANGE(""https://docs.google.com/spreadsheets/d/1awYsYK3VOup2i3Pq_Yjnu8DRu_mYwSBnCR2QPthd0rU/edit?usp=sharing"",""โฉนดM3!H18"")"),629)</f>
        <v>629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536435</v>
      </c>
      <c r="M356" s="577">
        <f ca="1">M357+M358</f>
        <v>441755</v>
      </c>
      <c r="N356" s="577">
        <f ca="1">N357+N358</f>
        <v>108818</v>
      </c>
      <c r="O356" s="577">
        <f ca="1">IF(L356&gt;0,N356*100/L356,0)</f>
        <v>20.285402704894349</v>
      </c>
      <c r="P356" s="577">
        <f ca="1">IF(M356&gt;0,N356*100/M356,0)</f>
        <v>24.633111113626331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536435</v>
      </c>
      <c r="M358" s="425">
        <f ca="1">M361+M364</f>
        <v>441755</v>
      </c>
      <c r="N358" s="425">
        <f ca="1">N361+N364</f>
        <v>108818</v>
      </c>
      <c r="O358" s="425">
        <f ca="1">IF(L358&gt;0,N358*100/L358,0)</f>
        <v>20.285402704894349</v>
      </c>
      <c r="P358" s="425">
        <f ca="1">IF(M358&gt;0,N358*100/M358,0)</f>
        <v>24.633111113626331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536435</v>
      </c>
      <c r="M359" s="425">
        <f ca="1">M360+M361</f>
        <v>441755</v>
      </c>
      <c r="N359" s="425">
        <f ca="1">N360+N361</f>
        <v>108818</v>
      </c>
      <c r="O359" s="425">
        <f ca="1">IF(L359&gt;0,N359*100/L359,0)</f>
        <v>20.285402704894349</v>
      </c>
      <c r="P359" s="425">
        <f ca="1">IF(M359&gt;0,N359*100/M359,0)</f>
        <v>24.633111113626331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IFERROR(__xludf.DUMMYFUNCTION("IMPORTRANGE(""https://docs.google.com/spreadsheets/d/1-uDff_7J0KD5mKrp0Vvzr7lt3OU09vwQwhkpOPPYv2Y/edit?usp=sharing"",""งบพรบ!FC18"")"),536435)</f>
        <v>536435</v>
      </c>
      <c r="M361" s="425">
        <f ca="1">IFERROR(__xludf.DUMMYFUNCTION("IMPORTRANGE(""https://docs.google.com/spreadsheets/d/1-uDff_7J0KD5mKrp0Vvzr7lt3OU09vwQwhkpOPPYv2Y/edit?usp=sharing"",""งบพรบ!FH18"")"),441755)</f>
        <v>441755</v>
      </c>
      <c r="N361" s="425">
        <f ca="1">IFERROR(__xludf.DUMMYFUNCTION("IMPORTRANGE(""https://docs.google.com/spreadsheets/d/1-uDff_7J0KD5mKrp0Vvzr7lt3OU09vwQwhkpOPPYv2Y/edit?usp=sharing"",""งบพรบ!FJ18"")"),108818)</f>
        <v>108818</v>
      </c>
      <c r="O361" s="425">
        <f ca="1">IF(L361&gt;0,N361*100/L361,0)</f>
        <v>20.285402704894349</v>
      </c>
      <c r="P361" s="425">
        <f ca="1">IF(M361&gt;0,N361*100/M361,0)</f>
        <v>24.633111113626331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IFERROR(__xludf.DUMMYFUNCTION("IMPORTRANGE(""https://docs.google.com/spreadsheets/d/1-uDff_7J0KD5mKrp0Vvzr7lt3OU09vwQwhkpOPPYv2Y/edit?usp=sharing"",""งบพรบ!FF18"")"),0)</f>
        <v>0</v>
      </c>
      <c r="M364" s="425">
        <f ca="1">IFERROR(__xludf.DUMMYFUNCTION("IMPORTRANGE(""https://docs.google.com/spreadsheets/d/1-uDff_7J0KD5mKrp0Vvzr7lt3OU09vwQwhkpOPPYv2Y/edit?usp=sharing"",""งบพรบ!FI18"")"),0)</f>
        <v>0</v>
      </c>
      <c r="N364" s="425">
        <f ca="1">IFERROR(__xludf.DUMMYFUNCTION("IMPORTRANGE(""https://docs.google.com/spreadsheets/d/1-uDff_7J0KD5mKrp0Vvzr7lt3OU09vwQwhkpOPPYv2Y/edit?usp=sharing"",""งบพรบ!FK18"")"),0)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128</v>
      </c>
      <c r="J365" s="438">
        <f ca="1">J371</f>
        <v>163</v>
      </c>
      <c r="K365" s="439">
        <f ca="1">IF(I365&gt;0,J365*100/I365,0)</f>
        <v>127.34375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IFERROR(__xludf.DUMMYFUNCTION("IMPORTRANGE(""https://docs.google.com/spreadsheets/d/1tdoBKaGub7dwA3U6UFTqxio9LNnvDCQjHKmttSEBsFQ/edit?usp=sharing"",""จัดที่ดิน!AB18"")"),44)</f>
        <v>44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IFERROR(__xludf.DUMMYFUNCTION("IMPORTRANGE(""https://docs.google.com/spreadsheets/d/1eHaY18a8A9IcSdp1K8H6x8fbOy06t2VsZHhMHf-1x7Y/edit?usp=sharing"",""แผน!EW18"")"),1490)</f>
        <v>1490</v>
      </c>
      <c r="J368" s="565">
        <f ca="1">IFERROR(__xludf.DUMMYFUNCTION("IMPORTRANGE(""https://docs.google.com/spreadsheets/d/1tdoBKaGub7dwA3U6UFTqxio9LNnvDCQjHKmttSEBsFQ/edit?usp=sharing"",""จัดที่ดิน!AC18"")"),453.74)</f>
        <v>453.74</v>
      </c>
      <c r="K368" s="425">
        <f ca="1">IF(I368&gt;0,J368*100/I368,0)</f>
        <v>30.452348993288592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IFERROR(__xludf.DUMMYFUNCTION("IMPORTRANGE(""https://docs.google.com/spreadsheets/d/1eHaY18a8A9IcSdp1K8H6x8fbOy06t2VsZHhMHf-1x7Y/edit?usp=sharing"",""แผน!EX18"")"),198)</f>
        <v>198</v>
      </c>
      <c r="J369" s="424">
        <f ca="1">IFERROR(__xludf.DUMMYFUNCTION("IMPORTRANGE(""https://docs.google.com/spreadsheets/d/1tdoBKaGub7dwA3U6UFTqxio9LNnvDCQjHKmttSEBsFQ/edit?usp=sharing"",""จัดที่ดิน!AD18"")"),166)</f>
        <v>166</v>
      </c>
      <c r="K369" s="425">
        <f ca="1">IF(I369&gt;0,J369*100/I369,0)</f>
        <v>83.838383838383834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IFERROR(__xludf.DUMMYFUNCTION("IMPORTRANGE(""https://docs.google.com/spreadsheets/d/1tdoBKaGub7dwA3U6UFTqxio9LNnvDCQjHKmttSEBsFQ/edit?usp=sharing"",""จัดที่ดิน!AE18"")"),2871.36)</f>
        <v>2871.36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IFERROR(__xludf.DUMMYFUNCTION("IMPORTRANGE(""https://docs.google.com/spreadsheets/d/1eHaY18a8A9IcSdp1K8H6x8fbOy06t2VsZHhMHf-1x7Y/edit?usp=sharing"",""แผน!EY18"")"),128)</f>
        <v>128</v>
      </c>
      <c r="J371" s="424">
        <f ca="1">IFERROR(__xludf.DUMMYFUNCTION("IMPORTRANGE(""https://docs.google.com/spreadsheets/d/1tdoBKaGub7dwA3U6UFTqxio9LNnvDCQjHKmttSEBsFQ/edit?usp=sharing"",""จัดที่ดิน!AF18"")"),163)</f>
        <v>163</v>
      </c>
      <c r="K371" s="425">
        <f ca="1">IF(I371&gt;0,J371*100/I371,0)</f>
        <v>127.34375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IFERROR(__xludf.DUMMYFUNCTION("IMPORTRANGE(""https://docs.google.com/spreadsheets/d/1tdoBKaGub7dwA3U6UFTqxio9LNnvDCQjHKmttSEBsFQ/edit?usp=sharing"",""จัดที่ดิน!AG18"")"),2837.51)</f>
        <v>2837.51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IFERROR(__xludf.DUMMYFUNCTION("IMPORTRANGE(""https://docs.google.com/spreadsheets/d/1-uDff_7J0KD5mKrp0Vvzr7lt3OU09vwQwhkpOPPYv2Y/edit?usp=sharing"",""งบพรบ!FM18"")"),0)</f>
        <v>0</v>
      </c>
      <c r="M382" s="521">
        <f ca="1">IFERROR(__xludf.DUMMYFUNCTION("IMPORTRANGE(""https://docs.google.com/spreadsheets/d/1-uDff_7J0KD5mKrp0Vvzr7lt3OU09vwQwhkpOPPYv2Y/edit?usp=sharing"",""งบพรบ!FR18"")"),0)</f>
        <v>0</v>
      </c>
      <c r="N382" s="521">
        <f ca="1">IFERROR(__xludf.DUMMYFUNCTION("IMPORTRANGE(""https://docs.google.com/spreadsheets/d/1-uDff_7J0KD5mKrp0Vvzr7lt3OU09vwQwhkpOPPYv2Y/edit?usp=sharing"",""งบพรบ!FT18"")"),0)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IFERROR(__xludf.DUMMYFUNCTION("IMPORTRANGE(""https://docs.google.com/spreadsheets/d/1-uDff_7J0KD5mKrp0Vvzr7lt3OU09vwQwhkpOPPYv2Y/edit?usp=sharing"",""งบพรบ!FP18"")"),0)</f>
        <v>0</v>
      </c>
      <c r="M385" s="521">
        <f ca="1">IFERROR(__xludf.DUMMYFUNCTION("IMPORTRANGE(""https://docs.google.com/spreadsheets/d/1-uDff_7J0KD5mKrp0Vvzr7lt3OU09vwQwhkpOPPYv2Y/edit?usp=sharing"",""งบพรบ!FS18"")"),0)</f>
        <v>0</v>
      </c>
      <c r="N385" s="521">
        <f ca="1">IFERROR(__xludf.DUMMYFUNCTION("IMPORTRANGE(""https://docs.google.com/spreadsheets/d/1-uDff_7J0KD5mKrp0Vvzr7lt3OU09vwQwhkpOPPYv2Y/edit?usp=sharing"",""งบพรบ!FU18"")"),0)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4023-7288-4F2F-A6EE-9F0D9A600391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" bestFit="1" customWidth="1"/>
    <col min="11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168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2453135</v>
      </c>
      <c r="M18" s="704">
        <f ca="1">M19+M20</f>
        <v>2281440</v>
      </c>
      <c r="N18" s="704">
        <f ca="1">N19+N20</f>
        <v>786920.42</v>
      </c>
      <c r="O18" s="704">
        <f ca="1">IF(L18&gt;0,N18*100/L18,0)</f>
        <v>32.078153872493765</v>
      </c>
      <c r="P18" s="704">
        <f ca="1">IF(M18&gt;0,N18*100/M18,0)</f>
        <v>34.49226891787643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2453135</v>
      </c>
      <c r="M20" s="817">
        <f ca="1">M23+M26</f>
        <v>2281440</v>
      </c>
      <c r="N20" s="817">
        <f ca="1">N23+N26</f>
        <v>786920.42</v>
      </c>
      <c r="O20" s="817">
        <f ca="1">IF(L20&gt;0,N20*100/L20,0)</f>
        <v>32.078153872493765</v>
      </c>
      <c r="P20" s="817">
        <f ca="1">IF(M20&gt;0,N20*100/M20,0)</f>
        <v>34.49226891787643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2453135</v>
      </c>
      <c r="M21" s="425">
        <f ca="1">M22+M23</f>
        <v>2281440</v>
      </c>
      <c r="N21" s="425">
        <f ca="1">N22+N23</f>
        <v>786920.42</v>
      </c>
      <c r="O21" s="425">
        <f ca="1">IF(L21&gt;0,N21*100/L21,0)</f>
        <v>32.078153872493765</v>
      </c>
      <c r="P21" s="425">
        <f ca="1">IF(M21&gt;0,N21*100/M21,0)</f>
        <v>34.49226891787643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2453135</v>
      </c>
      <c r="M23" s="425">
        <f ca="1">M49+M64+M77+M99+M130+M144+M162+M191+M178+M271+M287+M308+M325+M338+M361+M382</f>
        <v>2281440</v>
      </c>
      <c r="N23" s="425">
        <f ca="1">N49+N64+N77+N99+N130+N144+N162+N191+N178+N271+N287+N308+N325+N338+N361+N382</f>
        <v>786920.42</v>
      </c>
      <c r="O23" s="425">
        <f ca="1">IF(L23&gt;0,N23*100/L23,0)</f>
        <v>32.078153872493765</v>
      </c>
      <c r="P23" s="425">
        <f ca="1">IF(M23&gt;0,N23*100/M23,0)</f>
        <v>34.49226891787643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2453135</v>
      </c>
      <c r="M40" s="809">
        <f ca="1">M44+M59+M72+M94+M125+M139+M157+M173+M186+M266+M282+M303+M320+M333+M356</f>
        <v>2281440</v>
      </c>
      <c r="N40" s="809">
        <f ca="1">N44+N59+N72+N94+N125+N139+N157+N173+N186+N266+N282+N303+N320+N333+N356</f>
        <v>786920.42</v>
      </c>
      <c r="O40" s="809">
        <f ca="1">IF(L40&gt;0,N40*100/L40,0)</f>
        <v>32.078153872493765</v>
      </c>
      <c r="P40" s="809">
        <f ca="1">IF(M40&gt;0,N40*100/M40,0)</f>
        <v>34.49226891787643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395350</v>
      </c>
      <c r="M44" s="794">
        <f ca="1">M45+M46</f>
        <v>397600</v>
      </c>
      <c r="N44" s="794">
        <f ca="1">N45+N46</f>
        <v>189017</v>
      </c>
      <c r="O44" s="794">
        <f ca="1">IF(L44&gt;0,N44*100/L44,0)</f>
        <v>47.810041735171367</v>
      </c>
      <c r="P44" s="794">
        <f ca="1">IF(M44&gt;0,N44*100/M44,0)</f>
        <v>47.539486921529175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395350</v>
      </c>
      <c r="M46" s="783">
        <f ca="1">M49+M52</f>
        <v>397600</v>
      </c>
      <c r="N46" s="783">
        <f ca="1">N49+N52</f>
        <v>189017</v>
      </c>
      <c r="O46" s="783">
        <f ca="1">IF(L46&gt;0,N46*100/L46,0)</f>
        <v>47.810041735171367</v>
      </c>
      <c r="P46" s="783">
        <f ca="1">IF(M46&gt;0,N46*100/M46,0)</f>
        <v>47.539486921529175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395350</v>
      </c>
      <c r="M47" s="425">
        <f ca="1">M48+M49</f>
        <v>397600</v>
      </c>
      <c r="N47" s="425">
        <f ca="1">N48+N49</f>
        <v>189017</v>
      </c>
      <c r="O47" s="425">
        <f ca="1">IF(L47&gt;0,N47*100/L47,0)</f>
        <v>47.810041735171367</v>
      </c>
      <c r="P47" s="425">
        <f ca="1">IF(M47&gt;0,N47*100/M47,0)</f>
        <v>47.539486921529175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IFERROR(__xludf.DUMMYFUNCTION("IMPORTRANGE(""https://docs.google.com/spreadsheets/d/1-uDff_7J0KD5mKrp0Vvzr7lt3OU09vwQwhkpOPPYv2Y/edit?usp=sharing"",""งบพรบ!P19"")"),395350)</f>
        <v>395350</v>
      </c>
      <c r="M49" s="425">
        <f ca="1">IFERROR(__xludf.DUMMYFUNCTION("IMPORTRANGE(""https://docs.google.com/spreadsheets/d/1-uDff_7J0KD5mKrp0Vvzr7lt3OU09vwQwhkpOPPYv2Y/edit?usp=sharing"",""งบพรบ!V19"")"),397600)</f>
        <v>397600</v>
      </c>
      <c r="N49" s="425">
        <f ca="1">IFERROR(__xludf.DUMMYFUNCTION("IMPORTRANGE(""https://docs.google.com/spreadsheets/d/1-uDff_7J0KD5mKrp0Vvzr7lt3OU09vwQwhkpOPPYv2Y/edit?usp=sharing"",""งบพรบ!Y19"")"),189017)</f>
        <v>189017</v>
      </c>
      <c r="O49" s="425">
        <f ca="1">IF(L49&gt;0,N49*100/L49,0)</f>
        <v>47.810041735171367</v>
      </c>
      <c r="P49" s="425">
        <f ca="1">IF(M49&gt;0,N49*100/M49,0)</f>
        <v>47.539486921529175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IFERROR(__xludf.DUMMYFUNCTION("IMPORTRANGE(""https://docs.google.com/spreadsheets/d/1-uDff_7J0KD5mKrp0Vvzr7lt3OU09vwQwhkpOPPYv2Y/edit?usp=sharing"",""งบพรบ!S19"")"),0)</f>
        <v>0</v>
      </c>
      <c r="M52" s="425">
        <f ca="1">IFERROR(__xludf.DUMMYFUNCTION("IMPORTRANGE(""https://docs.google.com/spreadsheets/d/1-uDff_7J0KD5mKrp0Vvzr7lt3OU09vwQwhkpOPPYv2Y/edit?usp=sharing"",""งบพรบ!W19"")"),0)</f>
        <v>0</v>
      </c>
      <c r="N52" s="425">
        <f ca="1">IFERROR(__xludf.DUMMYFUNCTION("IMPORTRANGE(""https://docs.google.com/spreadsheets/d/1-uDff_7J0KD5mKrp0Vvzr7lt3OU09vwQwhkpOPPYv2Y/edit?usp=sharing"",""งบพรบ!Z19"")"),0)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503200</v>
      </c>
      <c r="M59" s="763">
        <f ca="1">M60+M61</f>
        <v>379450</v>
      </c>
      <c r="N59" s="763">
        <f ca="1">N60+N61</f>
        <v>219890.42</v>
      </c>
      <c r="O59" s="763">
        <f ca="1">IF(L59&gt;0,N59*100/L59,0)</f>
        <v>43.698414149443565</v>
      </c>
      <c r="P59" s="763">
        <f ca="1">IF(M59&gt;0,N59*100/M59,0)</f>
        <v>57.949774673870074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503200</v>
      </c>
      <c r="M61" s="752">
        <f ca="1">M64+M67</f>
        <v>379450</v>
      </c>
      <c r="N61" s="752">
        <f ca="1">N64+N67</f>
        <v>219890.42</v>
      </c>
      <c r="O61" s="752">
        <f ca="1">IF(L61&gt;0,N61*100/L61,0)</f>
        <v>43.698414149443565</v>
      </c>
      <c r="P61" s="752">
        <f ca="1">IF(M61&gt;0,N61*100/M61,0)</f>
        <v>57.949774673870074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503200</v>
      </c>
      <c r="M62" s="425">
        <f ca="1">M63+M64</f>
        <v>379450</v>
      </c>
      <c r="N62" s="425">
        <f ca="1">N63+N64</f>
        <v>219890.42</v>
      </c>
      <c r="O62" s="425">
        <f ca="1">IF(L62&gt;0,N62*100/L62,0)</f>
        <v>43.698414149443565</v>
      </c>
      <c r="P62" s="425">
        <f ca="1">IF(M62&gt;0,N62*100/M62,0)</f>
        <v>57.949774673870074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IFERROR(__xludf.DUMMYFUNCTION("IMPORTRANGE(""https://docs.google.com/spreadsheets/d/1-uDff_7J0KD5mKrp0Vvzr7lt3OU09vwQwhkpOPPYv2Y/edit?usp=sharing"",""งบพรบ!AC19"")"),503200)</f>
        <v>503200</v>
      </c>
      <c r="M64" s="425">
        <f ca="1">IFERROR(__xludf.DUMMYFUNCTION("IMPORTRANGE(""https://docs.google.com/spreadsheets/d/1-uDff_7J0KD5mKrp0Vvzr7lt3OU09vwQwhkpOPPYv2Y/edit?usp=sharing"",""งบพรบ!AH19"")"),379450)</f>
        <v>379450</v>
      </c>
      <c r="N64" s="425">
        <f ca="1">IFERROR(__xludf.DUMMYFUNCTION("IMPORTRANGE(""https://docs.google.com/spreadsheets/d/1-uDff_7J0KD5mKrp0Vvzr7lt3OU09vwQwhkpOPPYv2Y/edit?usp=sharing"",""งบพรบ!AJ19"")"),219890.42)</f>
        <v>219890.42</v>
      </c>
      <c r="O64" s="425">
        <f ca="1">IF(L64&gt;0,N64*100/L64,0)</f>
        <v>43.698414149443565</v>
      </c>
      <c r="P64" s="425">
        <f ca="1">IF(M64&gt;0,N64*100/M64,0)</f>
        <v>57.949774673870074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IFERROR(__xludf.DUMMYFUNCTION("IMPORTRANGE(""https://docs.google.com/spreadsheets/d/1-uDff_7J0KD5mKrp0Vvzr7lt3OU09vwQwhkpOPPYv2Y/edit?usp=sharing"",""งบพรบ!AF19"")"),0)</f>
        <v>0</v>
      </c>
      <c r="M67" s="747">
        <f ca="1">IFERROR(__xludf.DUMMYFUNCTION("IMPORTRANGE(""https://docs.google.com/spreadsheets/d/1-uDff_7J0KD5mKrp0Vvzr7lt3OU09vwQwhkpOPPYv2Y/edit?usp=sharing"",""งบพรบ!AI19"")"),0)</f>
        <v>0</v>
      </c>
      <c r="N67" s="747">
        <f ca="1">IFERROR(__xludf.DUMMYFUNCTION("IMPORTRANGE(""https://docs.google.com/spreadsheets/d/1-uDff_7J0KD5mKrp0Vvzr7lt3OU09vwQwhkpOPPYv2Y/edit?usp=sharing"",""งบพรบ!AK19"")"),0)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IFERROR(__xludf.DUMMYFUNCTION("IMPORTRANGE(""https://docs.google.com/spreadsheets/d/1-uDff_7J0KD5mKrp0Vvzr7lt3OU09vwQwhkpOPPYv2Y/edit?usp=sharing"",""งบพรบ!AM19"")"),0)</f>
        <v>0</v>
      </c>
      <c r="M77" s="425">
        <f ca="1">IFERROR(__xludf.DUMMYFUNCTION("IMPORTRANGE(""https://docs.google.com/spreadsheets/d/1-uDff_7J0KD5mKrp0Vvzr7lt3OU09vwQwhkpOPPYv2Y/edit?usp=sharing"",""งบพรบ!AR19"")"),0)</f>
        <v>0</v>
      </c>
      <c r="N77" s="425">
        <f ca="1">IFERROR(__xludf.DUMMYFUNCTION("IMPORTRANGE(""https://docs.google.com/spreadsheets/d/1-uDff_7J0KD5mKrp0Vvzr7lt3OU09vwQwhkpOPPYv2Y/edit?usp=sharing"",""งบพรบ!AT19"")"),0)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IFERROR(__xludf.DUMMYFUNCTION("IMPORTRANGE(""https://docs.google.com/spreadsheets/d/1-uDff_7J0KD5mKrp0Vvzr7lt3OU09vwQwhkpOPPYv2Y/edit?usp=sharing"",""งบพรบ!AP19"")"),0)</f>
        <v>0</v>
      </c>
      <c r="M80" s="425">
        <f ca="1">IFERROR(__xludf.DUMMYFUNCTION("IMPORTRANGE(""https://docs.google.com/spreadsheets/d/1-uDff_7J0KD5mKrp0Vvzr7lt3OU09vwQwhkpOPPYv2Y/edit?usp=sharing"",""งบพรบ!AS19"")"),0)</f>
        <v>0</v>
      </c>
      <c r="N80" s="425">
        <f ca="1">IFERROR(__xludf.DUMMYFUNCTION("IMPORTRANGE(""https://docs.google.com/spreadsheets/d/1-uDff_7J0KD5mKrp0Vvzr7lt3OU09vwQwhkpOPPYv2Y/edit?usp=sharing"",""งบพรบ!AU19"")"),0)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IFERROR(__xludf.DUMMYFUNCTION("IMPORTRANGE(""https://docs.google.com/spreadsheets/d/1eHaY18a8A9IcSdp1K8H6x8fbOy06t2VsZHhMHf-1x7Y/edit?usp=sharing"",""แผน!H19"")"),0)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IFERROR(__xludf.DUMMYFUNCTION("IMPORTRANGE(""https://docs.google.com/spreadsheets/d/1eHaY18a8A9IcSdp1K8H6x8fbOy06t2VsZHhMHf-1x7Y/edit?usp=sharing"",""แผน!I19"")"),0)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IFERROR(__xludf.DUMMYFUNCTION("IMPORTRANGE(""https://docs.google.com/spreadsheets/d/1eHaY18a8A9IcSdp1K8H6x8fbOy06t2VsZHhMHf-1x7Y/edit?usp=sharing"",""แผน!F19"")"),0)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IFERROR(__xludf.DUMMYFUNCTION("IMPORTRANGE(""https://docs.google.com/spreadsheets/d/1eHaY18a8A9IcSdp1K8H6x8fbOy06t2VsZHhMHf-1x7Y/edit?usp=sharing"",""แผน!G19"")"),0)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IFERROR(__xludf.DUMMYFUNCTION("IMPORTRANGE(""https://docs.google.com/spreadsheets/d/1eHaY18a8A9IcSdp1K8H6x8fbOy06t2VsZHhMHf-1x7Y/edit?usp=sharing"",""แผน!D19"")"),0)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IFERROR(__xludf.DUMMYFUNCTION("IMPORTRANGE(""https://docs.google.com/spreadsheets/d/1eHaY18a8A9IcSdp1K8H6x8fbOy06t2VsZHhMHf-1x7Y/edit?usp=sharing"",""แผน!E19"")"),0)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IFERROR(__xludf.DUMMYFUNCTION("IMPORTRANGE(""https://docs.google.com/spreadsheets/d/1eHaY18a8A9IcSdp1K8H6x8fbOy06t2VsZHhMHf-1x7Y/edit?usp=sharing"",""แผน!J19"")"),0)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IFERROR(__xludf.DUMMYFUNCTION("IMPORTRANGE(""https://docs.google.com/spreadsheets/d/1-uDff_7J0KD5mKrp0Vvzr7lt3OU09vwQwhkpOPPYv2Y/edit?usp=sharing"",""งบพรบ!AW19"")"),0)</f>
        <v>0</v>
      </c>
      <c r="M99" s="425">
        <f ca="1">IFERROR(__xludf.DUMMYFUNCTION("IMPORTRANGE(""https://docs.google.com/spreadsheets/d/1-uDff_7J0KD5mKrp0Vvzr7lt3OU09vwQwhkpOPPYv2Y/edit?usp=sharing"",""งบพรบ!BB19"")"),0)</f>
        <v>0</v>
      </c>
      <c r="N99" s="425">
        <f ca="1">IFERROR(__xludf.DUMMYFUNCTION("IMPORTRANGE(""https://docs.google.com/spreadsheets/d/1-uDff_7J0KD5mKrp0Vvzr7lt3OU09vwQwhkpOPPYv2Y/edit?usp=sharing"",""งบพรบ!BD19"")"),0)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IFERROR(__xludf.DUMMYFUNCTION("IMPORTRANGE(""https://docs.google.com/spreadsheets/d/1-uDff_7J0KD5mKrp0Vvzr7lt3OU09vwQwhkpOPPYv2Y/edit?usp=sharing"",""งบพรบ!AZ19"")"),0)</f>
        <v>0</v>
      </c>
      <c r="M102" s="425">
        <f ca="1">IFERROR(__xludf.DUMMYFUNCTION("IMPORTRANGE(""https://docs.google.com/spreadsheets/d/1-uDff_7J0KD5mKrp0Vvzr7lt3OU09vwQwhkpOPPYv2Y/edit?usp=sharing"",""งบพรบ!BC19"")"),0)</f>
        <v>0</v>
      </c>
      <c r="N102" s="425">
        <f ca="1">IFERROR(__xludf.DUMMYFUNCTION("IMPORTRANGE(""https://docs.google.com/spreadsheets/d/1-uDff_7J0KD5mKrp0Vvzr7lt3OU09vwQwhkpOPPYv2Y/edit?usp=sharing"",""งบพรบ!BE19"")"),0)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IFERROR(__xludf.DUMMYFUNCTION("IMPORTRANGE(""https://docs.google.com/spreadsheets/d/1eHaY18a8A9IcSdp1K8H6x8fbOy06t2VsZHhMHf-1x7Y/edit?usp=sharing"",""แผน!N19"")"),0)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IFERROR(__xludf.DUMMYFUNCTION("IMPORTRANGE(""https://docs.google.com/spreadsheets/d/1eHaY18a8A9IcSdp1K8H6x8fbOy06t2VsZHhMHf-1x7Y/edit?usp=sharing"",""แผน!O19"")"),0)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IFERROR(__xludf.DUMMYFUNCTION("IMPORTRANGE(""https://docs.google.com/spreadsheets/d/1eHaY18a8A9IcSdp1K8H6x8fbOy06t2VsZHhMHf-1x7Y/edit?usp=sharing"",""แผน!R19"")"),0)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IFERROR(__xludf.DUMMYFUNCTION("IMPORTRANGE(""https://docs.google.com/spreadsheets/d/1-uDff_7J0KD5mKrp0Vvzr7lt3OU09vwQwhkpOPPYv2Y/edit?usp=sharing"",""งบพรบ!BG19"")"),0)</f>
        <v>0</v>
      </c>
      <c r="M130" s="723">
        <f ca="1">IFERROR(__xludf.DUMMYFUNCTION("IMPORTRANGE(""https://docs.google.com/spreadsheets/d/1-uDff_7J0KD5mKrp0Vvzr7lt3OU09vwQwhkpOPPYv2Y/edit?usp=sharing"",""งบพรบ!BL19"")"),0)</f>
        <v>0</v>
      </c>
      <c r="N130" s="723">
        <f ca="1">IFERROR(__xludf.DUMMYFUNCTION("IMPORTRANGE(""https://docs.google.com/spreadsheets/d/1-uDff_7J0KD5mKrp0Vvzr7lt3OU09vwQwhkpOPPYv2Y/edit?usp=sharing"",""งบพรบ!BN19"")"),0)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IFERROR(__xludf.DUMMYFUNCTION("IMPORTRANGE(""https://docs.google.com/spreadsheets/d/1-uDff_7J0KD5mKrp0Vvzr7lt3OU09vwQwhkpOPPYv2Y/edit?usp=sharing"",""งบพรบ!BJ19"")"),0)</f>
        <v>0</v>
      </c>
      <c r="M133" s="723">
        <f ca="1">IFERROR(__xludf.DUMMYFUNCTION("IMPORTRANGE(""https://docs.google.com/spreadsheets/d/1-uDff_7J0KD5mKrp0Vvzr7lt3OU09vwQwhkpOPPYv2Y/edit?usp=sharing"",""งบพรบ!BM19"")"),0)</f>
        <v>0</v>
      </c>
      <c r="N133" s="723">
        <f ca="1">IFERROR(__xludf.DUMMYFUNCTION("IMPORTRANGE(""https://docs.google.com/spreadsheets/d/1-uDff_7J0KD5mKrp0Vvzr7lt3OU09vwQwhkpOPPYv2Y/edit?usp=sharing"",""งบพรบ!BO19"")"),0)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2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50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5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83100</v>
      </c>
      <c r="M139" s="577">
        <f ca="1">M140+M141</f>
        <v>78100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83100</v>
      </c>
      <c r="M141" s="425">
        <f ca="1">M144+M147</f>
        <v>78100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83100</v>
      </c>
      <c r="M142" s="425">
        <f ca="1">M143+M144</f>
        <v>78100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IFERROR(__xludf.DUMMYFUNCTION("IMPORTRANGE(""https://docs.google.com/spreadsheets/d/1-uDff_7J0KD5mKrp0Vvzr7lt3OU09vwQwhkpOPPYv2Y/edit?usp=sharing"",""งบพรบ!BQ19"")"),83100)</f>
        <v>83100</v>
      </c>
      <c r="M144" s="425">
        <f ca="1">IFERROR(__xludf.DUMMYFUNCTION("IMPORTRANGE(""https://docs.google.com/spreadsheets/d/1-uDff_7J0KD5mKrp0Vvzr7lt3OU09vwQwhkpOPPYv2Y/edit?usp=sharing"",""งบพรบ!BV19"")"),78100)</f>
        <v>78100</v>
      </c>
      <c r="N144" s="425">
        <f ca="1">IFERROR(__xludf.DUMMYFUNCTION("IMPORTRANGE(""https://docs.google.com/spreadsheets/d/1-uDff_7J0KD5mKrp0Vvzr7lt3OU09vwQwhkpOPPYv2Y/edit?usp=sharing"",""งบพรบ!BX19"")"),0)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IFERROR(__xludf.DUMMYFUNCTION("IMPORTRANGE(""https://docs.google.com/spreadsheets/d/1-uDff_7J0KD5mKrp0Vvzr7lt3OU09vwQwhkpOPPYv2Y/edit?usp=sharing"",""งบพรบ!BT19"")"),0)</f>
        <v>0</v>
      </c>
      <c r="M147" s="425">
        <f ca="1">IFERROR(__xludf.DUMMYFUNCTION("IMPORTRANGE(""https://docs.google.com/spreadsheets/d/1-uDff_7J0KD5mKrp0Vvzr7lt3OU09vwQwhkpOPPYv2Y/edit?usp=sharing"",""งบพรบ!BW19"")"),0)</f>
        <v>0</v>
      </c>
      <c r="N147" s="425">
        <f ca="1">IFERROR(__xludf.DUMMYFUNCTION("IMPORTRANGE(""https://docs.google.com/spreadsheets/d/1-uDff_7J0KD5mKrp0Vvzr7lt3OU09vwQwhkpOPPYv2Y/edit?usp=sharing"",""งบพรบ!BY19"")"),0)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IFERROR(__xludf.DUMMYFUNCTION("IMPORTRANGE(""https://docs.google.com/spreadsheets/d/1eHaY18a8A9IcSdp1K8H6x8fbOy06t2VsZHhMHf-1x7Y/edit?usp=sharing"",""แผน!U19"")"),20)</f>
        <v>20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IFERROR(__xludf.DUMMYFUNCTION("IMPORTRANGE(""https://docs.google.com/spreadsheets/d/1eHaY18a8A9IcSdp1K8H6x8fbOy06t2VsZHhMHf-1x7Y/edit?usp=sharing"",""แผน!V19"")"),2)</f>
        <v>2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IFERROR(__xludf.DUMMYFUNCTION("IMPORTRANGE(""https://docs.google.com/spreadsheets/d/1eHaY18a8A9IcSdp1K8H6x8fbOy06t2VsZHhMHf-1x7Y/edit?usp=sharing"",""แผน!W19"")"),50)</f>
        <v>50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IFERROR(__xludf.DUMMYFUNCTION("IMPORTRANGE(""https://docs.google.com/spreadsheets/d/1eHaY18a8A9IcSdp1K8H6x8fbOy06t2VsZHhMHf-1x7Y/edit?usp=sharing"",""แผน!X19"")"),5)</f>
        <v>5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IFERROR(__xludf.DUMMYFUNCTION("IMPORTRANGE(""https://docs.google.com/spreadsheets/d/1eHaY18a8A9IcSdp1K8H6x8fbOy06t2VsZHhMHf-1x7Y/edit?usp=sharing"",""แผน!Y19"")"),2)</f>
        <v>2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IFERROR(__xludf.DUMMYFUNCTION("IMPORTRANGE(""https://docs.google.com/spreadsheets/d/1-uDff_7J0KD5mKrp0Vvzr7lt3OU09vwQwhkpOPPYv2Y/edit?usp=sharing"",""งบพรบ!CA19"")"),0)</f>
        <v>0</v>
      </c>
      <c r="M162" s="425">
        <f ca="1">IFERROR(__xludf.DUMMYFUNCTION("IMPORTRANGE(""https://docs.google.com/spreadsheets/d/1-uDff_7J0KD5mKrp0Vvzr7lt3OU09vwQwhkpOPPYv2Y/edit?usp=sharing"",""งบพรบ!CF19"")"),0)</f>
        <v>0</v>
      </c>
      <c r="N162" s="425">
        <f ca="1">IFERROR(__xludf.DUMMYFUNCTION("IMPORTRANGE(""https://docs.google.com/spreadsheets/d/1-uDff_7J0KD5mKrp0Vvzr7lt3OU09vwQwhkpOPPYv2Y/edit?usp=sharing"",""งบพรบ!CH19"")"),0)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IFERROR(__xludf.DUMMYFUNCTION("IMPORTRANGE(""https://docs.google.com/spreadsheets/d/1-uDff_7J0KD5mKrp0Vvzr7lt3OU09vwQwhkpOPPYv2Y/edit?usp=sharing"",""งบพรบ!CD19"")"),0)</f>
        <v>0</v>
      </c>
      <c r="M165" s="425">
        <f ca="1">IFERROR(__xludf.DUMMYFUNCTION("IMPORTRANGE(""https://docs.google.com/spreadsheets/d/1-uDff_7J0KD5mKrp0Vvzr7lt3OU09vwQwhkpOPPYv2Y/edit?usp=sharing"",""งบพรบ!CG19"")"),0)</f>
        <v>0</v>
      </c>
      <c r="N165" s="425">
        <f ca="1">IFERROR(__xludf.DUMMYFUNCTION("IMPORTRANGE(""https://docs.google.com/spreadsheets/d/1-uDff_7J0KD5mKrp0Vvzr7lt3OU09vwQwhkpOPPYv2Y/edit?usp=sharing"",""งบพรบ!CI19"")"),0)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IFERROR(__xludf.DUMMYFUNCTION("IMPORTRANGE(""https://docs.google.com/spreadsheets/d/1eHaY18a8A9IcSdp1K8H6x8fbOy06t2VsZHhMHf-1x7Y/edit?usp=sharing"",""แผน!Z19"")"),0)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IFERROR(__xludf.DUMMYFUNCTION("IMPORTRANGE(""https://docs.google.com/spreadsheets/d/1eHaY18a8A9IcSdp1K8H6x8fbOy06t2VsZHhMHf-1x7Y/edit?usp=sharing"",""แผน!Z19"")"),0)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IFERROR(__xludf.DUMMYFUNCTION("IMPORTRANGE(""https://docs.google.com/spreadsheets/d/1eHaY18a8A9IcSdp1K8H6x8fbOy06t2VsZHhMHf-1x7Y/edit?usp=sharing"",""แผน!Z19"")"),0)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207985</v>
      </c>
      <c r="N173" s="577">
        <f ca="1">N174+N175</f>
        <v>130125</v>
      </c>
      <c r="O173" s="577">
        <f ca="1">IF(L173&gt;0,N173*100/L173,0)</f>
        <v>664.24196018376722</v>
      </c>
      <c r="P173" s="577">
        <f ca="1">IF(M173&gt;0,N173*100/M173,0)</f>
        <v>62.564608024617158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207985</v>
      </c>
      <c r="N175" s="425">
        <f ca="1">N178+N181</f>
        <v>130125</v>
      </c>
      <c r="O175" s="425">
        <f ca="1">IF(L175&gt;0,N175*100/L175,0)</f>
        <v>664.24196018376722</v>
      </c>
      <c r="P175" s="425">
        <f ca="1">IF(M175&gt;0,N175*100/M175,0)</f>
        <v>62.564608024617158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207985</v>
      </c>
      <c r="N176" s="425">
        <f ca="1">N177+N178</f>
        <v>130125</v>
      </c>
      <c r="O176" s="425">
        <f ca="1">IF(L176&gt;0,N176*100/L176,0)</f>
        <v>664.24196018376722</v>
      </c>
      <c r="P176" s="425">
        <f ca="1">IF(M176&gt;0,N176*100/M176,0)</f>
        <v>62.564608024617158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IFERROR(__xludf.DUMMYFUNCTION("IMPORTRANGE(""https://docs.google.com/spreadsheets/d/1-uDff_7J0KD5mKrp0Vvzr7lt3OU09vwQwhkpOPPYv2Y/edit?usp=sharing"",""งบพรบ!CK19"")"),19590)</f>
        <v>19590</v>
      </c>
      <c r="M178" s="425">
        <f ca="1">IFERROR(__xludf.DUMMYFUNCTION("IMPORTRANGE(""https://docs.google.com/spreadsheets/d/1-uDff_7J0KD5mKrp0Vvzr7lt3OU09vwQwhkpOPPYv2Y/edit?usp=sharing"",""งบพรบ!CP19"")"),207985)</f>
        <v>207985</v>
      </c>
      <c r="N178" s="425">
        <f ca="1">IFERROR(__xludf.DUMMYFUNCTION("IMPORTRANGE(""https://docs.google.com/spreadsheets/d/1-uDff_7J0KD5mKrp0Vvzr7lt3OU09vwQwhkpOPPYv2Y/edit?usp=sharing"",""งบพรบ!CR19"")"),130125)</f>
        <v>130125</v>
      </c>
      <c r="O178" s="425">
        <f ca="1">IF(L178&gt;0,N178*100/L178,0)</f>
        <v>664.24196018376722</v>
      </c>
      <c r="P178" s="425">
        <f ca="1">IF(M178&gt;0,N178*100/M178,0)</f>
        <v>62.564608024617158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IFERROR(__xludf.DUMMYFUNCTION("IMPORTRANGE(""https://docs.google.com/spreadsheets/d/1-uDff_7J0KD5mKrp0Vvzr7lt3OU09vwQwhkpOPPYv2Y/edit?usp=sharing"",""งบพรบ!CN19"")"),0)</f>
        <v>0</v>
      </c>
      <c r="M181" s="425">
        <f ca="1">IFERROR(__xludf.DUMMYFUNCTION("IMPORTRANGE(""https://docs.google.com/spreadsheets/d/1-uDff_7J0KD5mKrp0Vvzr7lt3OU09vwQwhkpOPPYv2Y/edit?usp=sharing"",""งบพรบ!CQ19"")"),0)</f>
        <v>0</v>
      </c>
      <c r="N181" s="425">
        <f ca="1">IFERROR(__xludf.DUMMYFUNCTION("IMPORTRANGE(""https://docs.google.com/spreadsheets/d/1-uDff_7J0KD5mKrp0Vvzr7lt3OU09vwQwhkpOPPYv2Y/edit?usp=sharing"",""งบพรบ!CS19"")"),0)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IFERROR(__xludf.DUMMYFUNCTION("IMPORTRANGE(""https://docs.google.com/spreadsheets/d/1eHaY18a8A9IcSdp1K8H6x8fbOy06t2VsZHhMHf-1x7Y/edit?usp=sharing"",""แผน!AA19"")"),7)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70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389800</v>
      </c>
      <c r="M186" s="577">
        <f ca="1">M187+M188</f>
        <v>312800</v>
      </c>
      <c r="N186" s="577">
        <f ca="1">N187+N188</f>
        <v>51593</v>
      </c>
      <c r="O186" s="577">
        <f ca="1">IF(L186&gt;0,N186*100/L186,0)</f>
        <v>13.235761929194458</v>
      </c>
      <c r="P186" s="577">
        <f ca="1">IF(M186&gt;0,N186*100/M186,0)</f>
        <v>16.493925831202045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389800</v>
      </c>
      <c r="M188" s="425">
        <f ca="1">M191+M194</f>
        <v>312800</v>
      </c>
      <c r="N188" s="425">
        <f ca="1">N191+N194</f>
        <v>51593</v>
      </c>
      <c r="O188" s="425">
        <f ca="1">IF(L188&gt;0,N188*100/L188,0)</f>
        <v>13.235761929194458</v>
      </c>
      <c r="P188" s="425">
        <f ca="1">IF(M188&gt;0,N188*100/M188,0)</f>
        <v>16.493925831202045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389800</v>
      </c>
      <c r="M189" s="425">
        <f ca="1">M190+M191</f>
        <v>312800</v>
      </c>
      <c r="N189" s="425">
        <f ca="1">N190+N191</f>
        <v>51593</v>
      </c>
      <c r="O189" s="425">
        <f ca="1">IF(L189&gt;0,N189*100/L189,0)</f>
        <v>13.235761929194458</v>
      </c>
      <c r="P189" s="425">
        <f ca="1">IF(M189&gt;0,N189*100/M189,0)</f>
        <v>16.493925831202045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IFERROR(__xludf.DUMMYFUNCTION("IMPORTRANGE(""https://docs.google.com/spreadsheets/d/1-uDff_7J0KD5mKrp0Vvzr7lt3OU09vwQwhkpOPPYv2Y/edit?usp=sharing"",""งบพรบ!CU19"")"),389800)</f>
        <v>389800</v>
      </c>
      <c r="M191" s="425">
        <f ca="1">IFERROR(__xludf.DUMMYFUNCTION("IMPORTRANGE(""https://docs.google.com/spreadsheets/d/1-uDff_7J0KD5mKrp0Vvzr7lt3OU09vwQwhkpOPPYv2Y/edit?usp=sharing"",""งบพรบ!CZ19"")"),312800)</f>
        <v>312800</v>
      </c>
      <c r="N191" s="425">
        <f ca="1">IFERROR(__xludf.DUMMYFUNCTION("IMPORTRANGE(""https://docs.google.com/spreadsheets/d/1-uDff_7J0KD5mKrp0Vvzr7lt3OU09vwQwhkpOPPYv2Y/edit?usp=sharing"",""งบพรบ!DB19"")"),51593)</f>
        <v>51593</v>
      </c>
      <c r="O191" s="425">
        <f ca="1">IF(L191&gt;0,N191*100/L191,0)</f>
        <v>13.235761929194458</v>
      </c>
      <c r="P191" s="425">
        <f ca="1">IF(M191&gt;0,N191*100/M191,0)</f>
        <v>16.493925831202045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IFERROR(__xludf.DUMMYFUNCTION("IMPORTRANGE(""https://docs.google.com/spreadsheets/d/1-uDff_7J0KD5mKrp0Vvzr7lt3OU09vwQwhkpOPPYv2Y/edit?usp=sharing"",""งบพรบ!CX19"")"),0)</f>
        <v>0</v>
      </c>
      <c r="M194" s="425">
        <f ca="1">IFERROR(__xludf.DUMMYFUNCTION("IMPORTRANGE(""https://docs.google.com/spreadsheets/d/1-uDff_7J0KD5mKrp0Vvzr7lt3OU09vwQwhkpOPPYv2Y/edit?usp=sharing"",""งบพรบ!DA19"")"),0)</f>
        <v>0</v>
      </c>
      <c r="N194" s="425">
        <f ca="1">IFERROR(__xludf.DUMMYFUNCTION("IMPORTRANGE(""https://docs.google.com/spreadsheets/d/1-uDff_7J0KD5mKrp0Vvzr7lt3OU09vwQwhkpOPPYv2Y/edit?usp=sharing"",""งบพรบ!DC19"")"),0)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IFERROR(__xludf.DUMMYFUNCTION("IMPORTRANGE(""https://docs.google.com/spreadsheets/d/1eHaY18a8A9IcSdp1K8H6x8fbOy06t2VsZHhMHf-1x7Y/edit?usp=sharing"",""แผน!AB19"")"),6000)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IFERROR(__xludf.DUMMYFUNCTION("IMPORTRANGE(""https://docs.google.com/spreadsheets/d/1eHaY18a8A9IcSdp1K8H6x8fbOy06t2VsZHhMHf-1x7Y/edit?usp=sharing"",""แผน!AE19"")"),4)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3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42000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IFERROR(__xludf.DUMMYFUNCTION("IMPORTRANGE(""https://docs.google.com/spreadsheets/d/1eHaY18a8A9IcSdp1K8H6x8fbOy06t2VsZHhMHf-1x7Y/edit?usp=sharing"",""แผน!AG19"")"),3000)</f>
        <v>3000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IFERROR(__xludf.DUMMYFUNCTION("IMPORTRANGE(""https://docs.google.com/spreadsheets/d/1eHaY18a8A9IcSdp1K8H6x8fbOy06t2VsZHhMHf-1x7Y/edit?usp=sharing"",""แผน!AH19"")"),0)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IFERROR(__xludf.DUMMYFUNCTION("IMPORTRANGE(""https://docs.google.com/spreadsheets/d/1eHaY18a8A9IcSdp1K8H6x8fbOy06t2VsZHhMHf-1x7Y/edit?usp=sharing"",""แผน!AI19"")"),24000)</f>
        <v>24000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IFERROR(__xludf.DUMMYFUNCTION("IMPORTRANGE(""https://docs.google.com/spreadsheets/d/1eHaY18a8A9IcSdp1K8H6x8fbOy06t2VsZHhMHf-1x7Y/edit?usp=sharing"",""แผน!AJ19"")"),15000)</f>
        <v>15000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IFERROR(__xludf.DUMMYFUNCTION("IMPORTRANGE(""https://docs.google.com/spreadsheets/d/1eHaY18a8A9IcSdp1K8H6x8fbOy06t2VsZHhMHf-1x7Y/edit?usp=sharing"",""แผน!AK19"")"),3)</f>
        <v>3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IFERROR(__xludf.DUMMYFUNCTION("IMPORTRANGE(""https://docs.google.com/spreadsheets/d/1eHaY18a8A9IcSdp1K8H6x8fbOy06t2VsZHhMHf-1x7Y/edit?usp=sharing"",""แผน!JX19"")"),3)</f>
        <v>3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IFERROR(__xludf.DUMMYFUNCTION("IMPORTRANGE(""https://docs.google.com/spreadsheets/d/1eHaY18a8A9IcSdp1K8H6x8fbOy06t2VsZHhMHf-1x7Y/edit?usp=sharing"",""แผน!JY19"")"),1)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IFERROR(__xludf.DUMMYFUNCTION("IMPORTRANGE(""https://docs.google.com/spreadsheets/d/1eHaY18a8A9IcSdp1K8H6x8fbOy06t2VsZHhMHf-1x7Y/edit?usp=sharing"",""แผน!AM19"")"),0)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IFERROR(__xludf.DUMMYFUNCTION("IMPORTRANGE(""https://docs.google.com/spreadsheets/d/1eHaY18a8A9IcSdp1K8H6x8fbOy06t2VsZHhMHf-1x7Y/edit?usp=sharing"",""แผน!AN19"")"),0)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IFERROR(__xludf.DUMMYFUNCTION("IMPORTRANGE(""https://docs.google.com/spreadsheets/d/1eHaY18a8A9IcSdp1K8H6x8fbOy06t2VsZHhMHf-1x7Y/edit?usp=sharing"",""แผน!AO19"")"),0)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IFERROR(__xludf.DUMMYFUNCTION("IMPORTRANGE(""https://docs.google.com/spreadsheets/d/1eHaY18a8A9IcSdp1K8H6x8fbOy06t2VsZHhMHf-1x7Y/edit?usp=sharing"",""แผน!AP19"")"),0)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IFERROR(__xludf.DUMMYFUNCTION("IMPORTRANGE(""https://docs.google.com/spreadsheets/d/1eHaY18a8A9IcSdp1K8H6x8fbOy06t2VsZHhMHf-1x7Y/edit?usp=sharing"",""แผน!AP19"")"),0)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8500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IFERROR(__xludf.DUMMYFUNCTION("IMPORTRANGE(""https://docs.google.com/spreadsheets/d/1eHaY18a8A9IcSdp1K8H6x8fbOy06t2VsZHhMHf-1x7Y/edit?usp=sharing"",""แผน!AR19"")"),7000)</f>
        <v>7000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IFERROR(__xludf.DUMMYFUNCTION("IMPORTRANGE(""https://docs.google.com/spreadsheets/d/1eHaY18a8A9IcSdp1K8H6x8fbOy06t2VsZHhMHf-1x7Y/edit?usp=sharing"",""แผน!AS19"")"),1500)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IFERROR(__xludf.DUMMYFUNCTION("IMPORTRANGE(""https://docs.google.com/spreadsheets/d/1eHaY18a8A9IcSdp1K8H6x8fbOy06t2VsZHhMHf-1x7Y/edit?usp=sharing"",""แผน!AT19"")"),0)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IFERROR(__xludf.DUMMYFUNCTION("IMPORTRANGE(""https://docs.google.com/spreadsheets/d/1eHaY18a8A9IcSdp1K8H6x8fbOy06t2VsZHhMHf-1x7Y/edit?usp=sharing"",""แผน!AV19"")"),50000)</f>
        <v>50000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IFERROR(__xludf.DUMMYFUNCTION("IMPORTRANGE(""https://docs.google.com/spreadsheets/d/1eHaY18a8A9IcSdp1K8H6x8fbOy06t2VsZHhMHf-1x7Y/edit?usp=sharing"",""แผน!AV19"")"),50000)</f>
        <v>50000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IFERROR(__xludf.DUMMYFUNCTION("IMPORTRANGE(""https://docs.google.com/spreadsheets/d/1eHaY18a8A9IcSdp1K8H6x8fbOy06t2VsZHhMHf-1x7Y/edit?usp=sharing"",""แผน!AU19"")"),0)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868"/>
      <c r="B231" s="867"/>
      <c r="C231" s="678" t="s">
        <v>99</v>
      </c>
      <c r="D231" s="866"/>
      <c r="E231" s="866"/>
      <c r="F231" s="866"/>
      <c r="G231" s="865"/>
      <c r="H231" s="677" t="s">
        <v>33</v>
      </c>
      <c r="I231" s="676">
        <f ca="1">I242+I253</f>
        <v>70</v>
      </c>
      <c r="J231" s="676">
        <f>J242+J253</f>
        <v>0</v>
      </c>
      <c r="K231" s="675">
        <f ca="1">IF(I231&gt;0,J231*100/I231,0)</f>
        <v>0</v>
      </c>
      <c r="L231" s="864"/>
      <c r="M231" s="864"/>
      <c r="N231" s="864"/>
      <c r="O231" s="864"/>
      <c r="P231" s="864"/>
    </row>
    <row r="232" spans="1:16" ht="19.5" hidden="1" x14ac:dyDescent="0.3">
      <c r="A232" s="863"/>
      <c r="B232" s="860"/>
      <c r="C232" s="531" t="s">
        <v>16</v>
      </c>
      <c r="D232" s="541" t="s">
        <v>17</v>
      </c>
      <c r="E232" s="860"/>
      <c r="F232" s="860"/>
      <c r="G232" s="859"/>
      <c r="H232" s="673" t="s">
        <v>12</v>
      </c>
      <c r="I232" s="856"/>
      <c r="J232" s="856"/>
      <c r="K232" s="855"/>
      <c r="L232" s="539">
        <f ca="1">L243+L254</f>
        <v>242300</v>
      </c>
      <c r="M232" s="850"/>
      <c r="N232" s="539">
        <f>N243+N254</f>
        <v>0</v>
      </c>
      <c r="O232" s="850"/>
      <c r="P232" s="850"/>
    </row>
    <row r="233" spans="1:16" ht="18.75" hidden="1" x14ac:dyDescent="0.25">
      <c r="A233" s="863"/>
      <c r="B233" s="861"/>
      <c r="C233" s="860"/>
      <c r="D233" s="292" t="s">
        <v>160</v>
      </c>
      <c r="E233" s="860"/>
      <c r="F233" s="860"/>
      <c r="G233" s="859"/>
      <c r="H233" s="536" t="s">
        <v>12</v>
      </c>
      <c r="I233" s="856"/>
      <c r="J233" s="856"/>
      <c r="K233" s="855"/>
      <c r="L233" s="521">
        <f ca="1">L244+L255</f>
        <v>107000</v>
      </c>
      <c r="M233" s="850"/>
      <c r="N233" s="521">
        <f>N244+N255</f>
        <v>0</v>
      </c>
      <c r="O233" s="850"/>
      <c r="P233" s="850"/>
    </row>
    <row r="234" spans="1:16" ht="18.75" hidden="1" x14ac:dyDescent="0.25">
      <c r="A234" s="862"/>
      <c r="B234" s="861"/>
      <c r="C234" s="861"/>
      <c r="D234" s="293" t="s">
        <v>81</v>
      </c>
      <c r="E234" s="860"/>
      <c r="F234" s="860"/>
      <c r="G234" s="859"/>
      <c r="H234" s="536" t="s">
        <v>12</v>
      </c>
      <c r="I234" s="197"/>
      <c r="J234" s="197"/>
      <c r="K234" s="850"/>
      <c r="L234" s="521">
        <f ca="1">L245+L256</f>
        <v>4000</v>
      </c>
      <c r="M234" s="850"/>
      <c r="N234" s="521">
        <f>N245+N256</f>
        <v>0</v>
      </c>
      <c r="O234" s="850"/>
      <c r="P234" s="850"/>
    </row>
    <row r="235" spans="1:16" ht="18.75" hidden="1" x14ac:dyDescent="0.25">
      <c r="A235" s="862"/>
      <c r="B235" s="861"/>
      <c r="C235" s="861"/>
      <c r="D235" s="293" t="s">
        <v>82</v>
      </c>
      <c r="E235" s="860"/>
      <c r="F235" s="860"/>
      <c r="G235" s="859"/>
      <c r="H235" s="536" t="s">
        <v>12</v>
      </c>
      <c r="I235" s="197"/>
      <c r="J235" s="197"/>
      <c r="K235" s="850"/>
      <c r="L235" s="521">
        <f ca="1">L246+L257</f>
        <v>47300</v>
      </c>
      <c r="M235" s="850"/>
      <c r="N235" s="521">
        <f>N246+N257</f>
        <v>0</v>
      </c>
      <c r="O235" s="850"/>
      <c r="P235" s="850"/>
    </row>
    <row r="236" spans="1:16" ht="18.75" hidden="1" x14ac:dyDescent="0.25">
      <c r="A236" s="862"/>
      <c r="B236" s="861"/>
      <c r="C236" s="861"/>
      <c r="D236" s="293" t="s">
        <v>83</v>
      </c>
      <c r="E236" s="860"/>
      <c r="F236" s="860"/>
      <c r="G236" s="859"/>
      <c r="H236" s="536" t="s">
        <v>12</v>
      </c>
      <c r="I236" s="197"/>
      <c r="J236" s="197"/>
      <c r="K236" s="850"/>
      <c r="L236" s="521">
        <f ca="1">L247+L258</f>
        <v>84000</v>
      </c>
      <c r="M236" s="850"/>
      <c r="N236" s="521">
        <f>N247+N258</f>
        <v>0</v>
      </c>
      <c r="O236" s="850"/>
      <c r="P236" s="850"/>
    </row>
    <row r="237" spans="1:16" ht="19.5" hidden="1" x14ac:dyDescent="0.3">
      <c r="A237" s="854"/>
      <c r="B237" s="853"/>
      <c r="C237" s="671" t="s">
        <v>16</v>
      </c>
      <c r="D237" s="530" t="s">
        <v>36</v>
      </c>
      <c r="E237" s="858"/>
      <c r="F237" s="858"/>
      <c r="G237" s="857"/>
      <c r="H237" s="851"/>
      <c r="I237" s="856"/>
      <c r="J237" s="197"/>
      <c r="K237" s="850"/>
      <c r="L237" s="850"/>
      <c r="M237" s="850"/>
      <c r="N237" s="850"/>
      <c r="O237" s="855"/>
      <c r="P237" s="855"/>
    </row>
    <row r="238" spans="1:16" ht="18.75" hidden="1" x14ac:dyDescent="0.25">
      <c r="A238" s="854"/>
      <c r="B238" s="853"/>
      <c r="C238" s="853"/>
      <c r="D238" s="524" t="s">
        <v>102</v>
      </c>
      <c r="E238" s="852"/>
      <c r="F238" s="852"/>
      <c r="G238" s="851"/>
      <c r="H238" s="668" t="s">
        <v>33</v>
      </c>
      <c r="I238" s="199">
        <f ca="1">I249+I260</f>
        <v>70</v>
      </c>
      <c r="J238" s="199">
        <f>J249+J260</f>
        <v>0</v>
      </c>
      <c r="K238" s="521">
        <f ca="1">IF(I238&gt;0,J238*100/I238,0)</f>
        <v>0</v>
      </c>
      <c r="L238" s="850"/>
      <c r="M238" s="850"/>
      <c r="N238" s="850"/>
      <c r="O238" s="850"/>
      <c r="P238" s="850"/>
    </row>
    <row r="239" spans="1:16" ht="18.75" hidden="1" x14ac:dyDescent="0.25">
      <c r="A239" s="854"/>
      <c r="B239" s="853"/>
      <c r="C239" s="853"/>
      <c r="D239" s="670" t="s">
        <v>41</v>
      </c>
      <c r="E239" s="852"/>
      <c r="F239" s="852"/>
      <c r="G239" s="851"/>
      <c r="H239" s="851"/>
      <c r="I239" s="197"/>
      <c r="J239" s="197"/>
      <c r="K239" s="850"/>
      <c r="L239" s="850"/>
      <c r="M239" s="850"/>
      <c r="N239" s="850"/>
      <c r="O239" s="855"/>
      <c r="P239" s="855"/>
    </row>
    <row r="240" spans="1:16" ht="18.75" hidden="1" x14ac:dyDescent="0.25">
      <c r="A240" s="854"/>
      <c r="B240" s="853"/>
      <c r="C240" s="853"/>
      <c r="D240" s="853"/>
      <c r="E240" s="669" t="s">
        <v>103</v>
      </c>
      <c r="F240" s="852"/>
      <c r="G240" s="851"/>
      <c r="H240" s="668" t="s">
        <v>33</v>
      </c>
      <c r="I240" s="199">
        <f ca="1">I251+I262</f>
        <v>40</v>
      </c>
      <c r="J240" s="199">
        <f>J251+J262</f>
        <v>0</v>
      </c>
      <c r="K240" s="521">
        <f ca="1">IF(I240&gt;0,J240*100/I240,0)</f>
        <v>0</v>
      </c>
      <c r="L240" s="850"/>
      <c r="M240" s="850"/>
      <c r="N240" s="850"/>
      <c r="O240" s="850"/>
      <c r="P240" s="850"/>
    </row>
    <row r="241" spans="1:16" ht="18.75" hidden="1" x14ac:dyDescent="0.25">
      <c r="A241" s="854"/>
      <c r="B241" s="853"/>
      <c r="C241" s="853"/>
      <c r="D241" s="853"/>
      <c r="E241" s="669" t="s">
        <v>104</v>
      </c>
      <c r="F241" s="852"/>
      <c r="G241" s="851"/>
      <c r="H241" s="668" t="s">
        <v>54</v>
      </c>
      <c r="I241" s="199">
        <f ca="1">I252+I263</f>
        <v>1</v>
      </c>
      <c r="J241" s="199">
        <f>J252+J263</f>
        <v>0</v>
      </c>
      <c r="K241" s="521">
        <f ca="1">IF(I241&gt;0,J241*100/I241,0)</f>
        <v>0</v>
      </c>
      <c r="L241" s="850"/>
      <c r="M241" s="850"/>
      <c r="N241" s="850"/>
      <c r="O241" s="850"/>
      <c r="P241" s="850"/>
    </row>
    <row r="242" spans="1:16" ht="19.5" x14ac:dyDescent="0.3">
      <c r="A242" s="279"/>
      <c r="B242" s="280"/>
      <c r="C242" s="281" t="s">
        <v>167</v>
      </c>
      <c r="D242" s="282"/>
      <c r="E242" s="282"/>
      <c r="F242" s="282"/>
      <c r="G242" s="283"/>
      <c r="H242" s="284" t="s">
        <v>33</v>
      </c>
      <c r="I242" s="285">
        <f ca="1">I249</f>
        <v>30</v>
      </c>
      <c r="J242" s="285">
        <f>J249</f>
        <v>0</v>
      </c>
      <c r="K242" s="286">
        <f ca="1">IF(I242&gt;0,J242*100/I242,0)</f>
        <v>0</v>
      </c>
      <c r="L242" s="287"/>
      <c r="M242" s="287"/>
      <c r="N242" s="287"/>
      <c r="O242" s="287"/>
      <c r="P242" s="287"/>
    </row>
    <row r="243" spans="1:16" ht="19.5" x14ac:dyDescent="0.3">
      <c r="A243" s="157"/>
      <c r="B243" s="53"/>
      <c r="C243" s="158" t="s">
        <v>16</v>
      </c>
      <c r="D243" s="849" t="s">
        <v>17</v>
      </c>
      <c r="E243" s="53"/>
      <c r="F243" s="53"/>
      <c r="G243" s="55"/>
      <c r="H243" s="289" t="s">
        <v>12</v>
      </c>
      <c r="I243" s="164"/>
      <c r="J243" s="164"/>
      <c r="K243" s="165"/>
      <c r="L243" s="161">
        <f ca="1">L244+L245+L246+L247</f>
        <v>56300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78"/>
      <c r="C244" s="53"/>
      <c r="D244" s="292" t="s">
        <v>160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IFERROR(__xludf.DUMMYFUNCTION("IMPORTRANGE(""https://docs.google.com/spreadsheets/d/1eHaY18a8A9IcSdp1K8H6x8fbOy06t2VsZHhMHf-1x7Y/edit?usp=sharing"",""แผน!AX19"")"),8000)</f>
        <v>8000</v>
      </c>
      <c r="M244" s="58"/>
      <c r="N244" s="848">
        <v>0</v>
      </c>
      <c r="O244" s="58"/>
      <c r="P244" s="58"/>
    </row>
    <row r="245" spans="1:16" ht="18.75" x14ac:dyDescent="0.25">
      <c r="A245" s="274"/>
      <c r="B245" s="278"/>
      <c r="C245" s="278"/>
      <c r="D245" s="293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IFERROR(__xludf.DUMMYFUNCTION("IMPORTRANGE(""https://docs.google.com/spreadsheets/d/1eHaY18a8A9IcSdp1K8H6x8fbOy06t2VsZHhMHf-1x7Y/edit?usp=sharing"",""แผน!AY19"")"),2000)</f>
        <v>2000</v>
      </c>
      <c r="M245" s="58"/>
      <c r="N245" s="848">
        <v>0</v>
      </c>
      <c r="O245" s="58"/>
      <c r="P245" s="58"/>
    </row>
    <row r="246" spans="1:16" ht="18.75" x14ac:dyDescent="0.25">
      <c r="A246" s="274"/>
      <c r="B246" s="278"/>
      <c r="C246" s="278"/>
      <c r="D246" s="293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IFERROR(__xludf.DUMMYFUNCTION("IMPORTRANGE(""https://docs.google.com/spreadsheets/d/1eHaY18a8A9IcSdp1K8H6x8fbOy06t2VsZHhMHf-1x7Y/edit?usp=sharing"",""แผน!AZ19"")"),15300)</f>
        <v>15300</v>
      </c>
      <c r="M246" s="58"/>
      <c r="N246" s="848">
        <v>0</v>
      </c>
      <c r="O246" s="58"/>
      <c r="P246" s="58"/>
    </row>
    <row r="247" spans="1:16" ht="18.75" x14ac:dyDescent="0.25">
      <c r="A247" s="274"/>
      <c r="B247" s="278"/>
      <c r="C247" s="278"/>
      <c r="D247" s="293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IFERROR(__xludf.DUMMYFUNCTION("IMPORTRANGE(""https://docs.google.com/spreadsheets/d/1eHaY18a8A9IcSdp1K8H6x8fbOy06t2VsZHhMHf-1x7Y/edit?usp=sharing"",""แผน!BA19"")"),31000)</f>
        <v>31000</v>
      </c>
      <c r="M247" s="58"/>
      <c r="N247" s="848">
        <v>0</v>
      </c>
      <c r="O247" s="58"/>
      <c r="P247" s="58"/>
    </row>
    <row r="248" spans="1:16" ht="19.5" x14ac:dyDescent="0.3">
      <c r="A248" s="167"/>
      <c r="B248" s="168"/>
      <c r="C248" s="296" t="s">
        <v>16</v>
      </c>
      <c r="D248" s="847" t="s">
        <v>36</v>
      </c>
      <c r="E248" s="170"/>
      <c r="F248" s="170"/>
      <c r="G248" s="171"/>
      <c r="H248" s="172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3" t="s">
        <v>102</v>
      </c>
      <c r="E249" s="174"/>
      <c r="F249" s="174"/>
      <c r="G249" s="172"/>
      <c r="H249" s="295" t="s">
        <v>33</v>
      </c>
      <c r="I249" s="194">
        <f ca="1">IFERROR(__xludf.DUMMYFUNCTION("IMPORTRANGE(""https://docs.google.com/spreadsheets/d/1eHaY18a8A9IcSdp1K8H6x8fbOy06t2VsZHhMHf-1x7Y/edit?usp=sharing"",""แผน!BG19"")"),30)</f>
        <v>30</v>
      </c>
      <c r="J249" s="846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6" t="s">
        <v>41</v>
      </c>
      <c r="E250" s="174"/>
      <c r="F250" s="174"/>
      <c r="G250" s="172"/>
      <c r="H250" s="172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7" t="s">
        <v>103</v>
      </c>
      <c r="F251" s="174"/>
      <c r="G251" s="172"/>
      <c r="H251" s="295" t="s">
        <v>33</v>
      </c>
      <c r="I251" s="194">
        <v>0</v>
      </c>
      <c r="J251" s="846">
        <v>0</v>
      </c>
      <c r="K251" s="61">
        <f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7" t="s">
        <v>104</v>
      </c>
      <c r="F252" s="174"/>
      <c r="G252" s="172"/>
      <c r="H252" s="295" t="s">
        <v>54</v>
      </c>
      <c r="I252" s="194">
        <v>0</v>
      </c>
      <c r="J252" s="846">
        <v>0</v>
      </c>
      <c r="K252" s="61">
        <f>IF(I252&gt;0,J252*100/I252,0)</f>
        <v>0</v>
      </c>
      <c r="L252" s="58"/>
      <c r="M252" s="58"/>
      <c r="N252" s="58"/>
      <c r="O252" s="58"/>
      <c r="P252" s="58"/>
    </row>
    <row r="253" spans="1:16" ht="19.5" x14ac:dyDescent="0.3">
      <c r="A253" s="279"/>
      <c r="B253" s="280"/>
      <c r="C253" s="281" t="s">
        <v>166</v>
      </c>
      <c r="D253" s="282"/>
      <c r="E253" s="282"/>
      <c r="F253" s="282"/>
      <c r="G253" s="283"/>
      <c r="H253" s="284" t="s">
        <v>33</v>
      </c>
      <c r="I253" s="285">
        <f ca="1">I260</f>
        <v>40</v>
      </c>
      <c r="J253" s="285">
        <f>J260</f>
        <v>0</v>
      </c>
      <c r="K253" s="286">
        <f ca="1">IF(I253&gt;0,J253*100/I253,0)</f>
        <v>0</v>
      </c>
      <c r="L253" s="287"/>
      <c r="M253" s="287"/>
      <c r="N253" s="287"/>
      <c r="O253" s="287"/>
      <c r="P253" s="287"/>
    </row>
    <row r="254" spans="1:16" ht="19.5" x14ac:dyDescent="0.3">
      <c r="A254" s="157"/>
      <c r="B254" s="53"/>
      <c r="C254" s="158" t="s">
        <v>16</v>
      </c>
      <c r="D254" s="869" t="s">
        <v>17</v>
      </c>
      <c r="E254" s="53"/>
      <c r="F254" s="53"/>
      <c r="G254" s="55"/>
      <c r="H254" s="289" t="s">
        <v>12</v>
      </c>
      <c r="I254" s="164"/>
      <c r="J254" s="164"/>
      <c r="K254" s="165"/>
      <c r="L254" s="161">
        <f ca="1">L255+L256+L257+L258</f>
        <v>186000</v>
      </c>
      <c r="M254" s="58"/>
      <c r="N254" s="161">
        <f>N255+N256+N257+N258</f>
        <v>0</v>
      </c>
      <c r="O254" s="161">
        <f ca="1">IF(L254&gt;0,N254*100/L254,0)</f>
        <v>0</v>
      </c>
      <c r="P254" s="161">
        <f>IF(M254&gt;0,N254*100/M254,0)</f>
        <v>0</v>
      </c>
    </row>
    <row r="255" spans="1:16" ht="18.75" x14ac:dyDescent="0.25">
      <c r="A255" s="157"/>
      <c r="B255" s="278"/>
      <c r="C255" s="53"/>
      <c r="D255" s="292" t="s">
        <v>160</v>
      </c>
      <c r="E255" s="53"/>
      <c r="F255" s="53"/>
      <c r="G255" s="55"/>
      <c r="H255" s="163" t="s">
        <v>12</v>
      </c>
      <c r="I255" s="164"/>
      <c r="J255" s="164"/>
      <c r="K255" s="165"/>
      <c r="L255" s="61">
        <f ca="1">IFERROR(__xludf.DUMMYFUNCTION("IMPORTRANGE(""https://docs.google.com/spreadsheets/d/1eHaY18a8A9IcSdp1K8H6x8fbOy06t2VsZHhMHf-1x7Y/edit?usp=sharing"",""แผน!BB19"")"),99000)</f>
        <v>99000</v>
      </c>
      <c r="M255" s="58"/>
      <c r="N255" s="848">
        <v>0</v>
      </c>
      <c r="O255" s="58"/>
      <c r="P255" s="58"/>
    </row>
    <row r="256" spans="1:16" ht="18.75" x14ac:dyDescent="0.25">
      <c r="A256" s="274"/>
      <c r="B256" s="278"/>
      <c r="C256" s="278"/>
      <c r="D256" s="293" t="s">
        <v>81</v>
      </c>
      <c r="E256" s="53"/>
      <c r="F256" s="53"/>
      <c r="G256" s="55"/>
      <c r="H256" s="163" t="s">
        <v>12</v>
      </c>
      <c r="I256" s="57"/>
      <c r="J256" s="57"/>
      <c r="K256" s="58"/>
      <c r="L256" s="61">
        <f ca="1">IFERROR(__xludf.DUMMYFUNCTION("IMPORTRANGE(""https://docs.google.com/spreadsheets/d/1eHaY18a8A9IcSdp1K8H6x8fbOy06t2VsZHhMHf-1x7Y/edit?usp=sharing"",""แผน!BC19"")"),2000)</f>
        <v>2000</v>
      </c>
      <c r="M256" s="58"/>
      <c r="N256" s="848">
        <v>0</v>
      </c>
      <c r="O256" s="58"/>
      <c r="P256" s="58"/>
    </row>
    <row r="257" spans="1:16" ht="18.75" x14ac:dyDescent="0.25">
      <c r="A257" s="274"/>
      <c r="B257" s="278"/>
      <c r="C257" s="278"/>
      <c r="D257" s="293" t="s">
        <v>82</v>
      </c>
      <c r="E257" s="53"/>
      <c r="F257" s="53"/>
      <c r="G257" s="55"/>
      <c r="H257" s="163" t="s">
        <v>12</v>
      </c>
      <c r="I257" s="57"/>
      <c r="J257" s="57"/>
      <c r="K257" s="58"/>
      <c r="L257" s="61">
        <f ca="1">IFERROR(__xludf.DUMMYFUNCTION("IMPORTRANGE(""https://docs.google.com/spreadsheets/d/1eHaY18a8A9IcSdp1K8H6x8fbOy06t2VsZHhMHf-1x7Y/edit?usp=sharing"",""แผน!BD19"")"),32000)</f>
        <v>32000</v>
      </c>
      <c r="M257" s="58"/>
      <c r="N257" s="848">
        <v>0</v>
      </c>
      <c r="O257" s="58"/>
      <c r="P257" s="58"/>
    </row>
    <row r="258" spans="1:16" ht="18.75" x14ac:dyDescent="0.25">
      <c r="A258" s="274"/>
      <c r="B258" s="278"/>
      <c r="C258" s="278"/>
      <c r="D258" s="293" t="s">
        <v>83</v>
      </c>
      <c r="E258" s="53"/>
      <c r="F258" s="53"/>
      <c r="G258" s="55"/>
      <c r="H258" s="163" t="s">
        <v>12</v>
      </c>
      <c r="I258" s="57"/>
      <c r="J258" s="57"/>
      <c r="K258" s="58"/>
      <c r="L258" s="61">
        <f ca="1">IFERROR(__xludf.DUMMYFUNCTION("IMPORTRANGE(""https://docs.google.com/spreadsheets/d/1eHaY18a8A9IcSdp1K8H6x8fbOy06t2VsZHhMHf-1x7Y/edit?usp=sharing"",""แผน!BE19"")"),53000)</f>
        <v>53000</v>
      </c>
      <c r="M258" s="58"/>
      <c r="N258" s="848">
        <v>0</v>
      </c>
      <c r="O258" s="58"/>
      <c r="P258" s="58"/>
    </row>
    <row r="259" spans="1:16" ht="19.5" x14ac:dyDescent="0.3">
      <c r="A259" s="167"/>
      <c r="B259" s="168"/>
      <c r="C259" s="296" t="s">
        <v>16</v>
      </c>
      <c r="D259" s="847" t="s">
        <v>36</v>
      </c>
      <c r="E259" s="170"/>
      <c r="F259" s="170"/>
      <c r="G259" s="171"/>
      <c r="H259" s="172"/>
      <c r="I259" s="164"/>
      <c r="J259" s="57"/>
      <c r="K259" s="58"/>
      <c r="L259" s="58"/>
      <c r="M259" s="58"/>
      <c r="N259" s="58"/>
      <c r="O259" s="165"/>
      <c r="P259" s="165"/>
    </row>
    <row r="260" spans="1:16" ht="18.75" x14ac:dyDescent="0.25">
      <c r="A260" s="167"/>
      <c r="B260" s="168"/>
      <c r="C260" s="168"/>
      <c r="D260" s="193" t="s">
        <v>102</v>
      </c>
      <c r="E260" s="174"/>
      <c r="F260" s="174"/>
      <c r="G260" s="172"/>
      <c r="H260" s="295" t="s">
        <v>33</v>
      </c>
      <c r="I260" s="194">
        <f ca="1">IFERROR(__xludf.DUMMYFUNCTION("IMPORTRANGE(""https://docs.google.com/spreadsheets/d/1eHaY18a8A9IcSdp1K8H6x8fbOy06t2VsZHhMHf-1x7Y/edit?usp=sharing"",""แผน!BH19"")"),40)</f>
        <v>40</v>
      </c>
      <c r="J260" s="846">
        <v>0</v>
      </c>
      <c r="K260" s="61">
        <f ca="1">IF(I260&gt;0,J260*100/I260,0)</f>
        <v>0</v>
      </c>
      <c r="L260" s="58"/>
      <c r="M260" s="58"/>
      <c r="N260" s="58"/>
      <c r="O260" s="58"/>
      <c r="P260" s="58"/>
    </row>
    <row r="261" spans="1:16" ht="18.75" x14ac:dyDescent="0.25">
      <c r="A261" s="167"/>
      <c r="B261" s="168"/>
      <c r="C261" s="168"/>
      <c r="D261" s="306" t="s">
        <v>41</v>
      </c>
      <c r="E261" s="174"/>
      <c r="F261" s="174"/>
      <c r="G261" s="172"/>
      <c r="H261" s="172"/>
      <c r="I261" s="57"/>
      <c r="J261" s="57"/>
      <c r="K261" s="58"/>
      <c r="L261" s="58"/>
      <c r="M261" s="58"/>
      <c r="N261" s="58"/>
      <c r="O261" s="165"/>
      <c r="P261" s="165"/>
    </row>
    <row r="262" spans="1:16" ht="18.75" x14ac:dyDescent="0.25">
      <c r="A262" s="167"/>
      <c r="B262" s="168"/>
      <c r="C262" s="168"/>
      <c r="D262" s="168"/>
      <c r="E262" s="447" t="s">
        <v>103</v>
      </c>
      <c r="F262" s="174"/>
      <c r="G262" s="172"/>
      <c r="H262" s="295" t="s">
        <v>33</v>
      </c>
      <c r="I262" s="194">
        <f ca="1">IFERROR(__xludf.DUMMYFUNCTION("IMPORTRANGE(""https://docs.google.com/spreadsheets/d/1eHaY18a8A9IcSdp1K8H6x8fbOy06t2VsZHhMHf-1x7Y/edit?usp=sharing"",""แผน!KT19"")"),40)</f>
        <v>40</v>
      </c>
      <c r="J262" s="846">
        <v>0</v>
      </c>
      <c r="K262" s="61">
        <f ca="1">IF(I262&gt;0,J262*100/I262,0)</f>
        <v>0</v>
      </c>
      <c r="L262" s="58"/>
      <c r="M262" s="58"/>
      <c r="N262" s="58"/>
      <c r="O262" s="58"/>
      <c r="P262" s="58"/>
    </row>
    <row r="263" spans="1:16" ht="18.75" x14ac:dyDescent="0.25">
      <c r="A263" s="167"/>
      <c r="B263" s="168"/>
      <c r="C263" s="168"/>
      <c r="D263" s="168"/>
      <c r="E263" s="447" t="s">
        <v>104</v>
      </c>
      <c r="F263" s="174"/>
      <c r="G263" s="172"/>
      <c r="H263" s="295" t="s">
        <v>54</v>
      </c>
      <c r="I263" s="194">
        <f ca="1">IFERROR(__xludf.DUMMYFUNCTION("IMPORTRANGE(""https://docs.google.com/spreadsheets/d/1eHaY18a8A9IcSdp1K8H6x8fbOy06t2VsZHhMHf-1x7Y/edit?usp=sharing"",""แผน!KU19"")"),1)</f>
        <v>1</v>
      </c>
      <c r="J263" s="846">
        <v>0</v>
      </c>
      <c r="K263" s="61">
        <f ca="1">IF(I263&gt;0,J263*100/I263,0)</f>
        <v>0</v>
      </c>
      <c r="L263" s="58"/>
      <c r="M263" s="58"/>
      <c r="N263" s="58"/>
      <c r="O263" s="58"/>
      <c r="P263" s="5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IFERROR(__xludf.DUMMYFUNCTION("IMPORTRANGE(""https://docs.google.com/spreadsheets/d/1-uDff_7J0KD5mKrp0Vvzr7lt3OU09vwQwhkpOPPYv2Y/edit?usp=sharing"",""งบพรบ!DE19"")"),0)</f>
        <v>0</v>
      </c>
      <c r="M271" s="521">
        <f ca="1">IFERROR(__xludf.DUMMYFUNCTION("IMPORTRANGE(""https://docs.google.com/spreadsheets/d/1-uDff_7J0KD5mKrp0Vvzr7lt3OU09vwQwhkpOPPYv2Y/edit?usp=sharing"",""งบพรบ!DJ19"")"),0)</f>
        <v>0</v>
      </c>
      <c r="N271" s="521">
        <f ca="1">IFERROR(__xludf.DUMMYFUNCTION("IMPORTRANGE(""https://docs.google.com/spreadsheets/d/1-uDff_7J0KD5mKrp0Vvzr7lt3OU09vwQwhkpOPPYv2Y/edit?usp=sharing"",""งบพรบ!DL19"")"),0)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IFERROR(__xludf.DUMMYFUNCTION("IMPORTRANGE(""https://docs.google.com/spreadsheets/d/1-uDff_7J0KD5mKrp0Vvzr7lt3OU09vwQwhkpOPPYv2Y/edit?usp=sharing"",""งบพรบ!DH19"")"),0)</f>
        <v>0</v>
      </c>
      <c r="M274" s="521">
        <f ca="1">IFERROR(__xludf.DUMMYFUNCTION("IMPORTRANGE(""https://docs.google.com/spreadsheets/d/1-uDff_7J0KD5mKrp0Vvzr7lt3OU09vwQwhkpOPPYv2Y/edit?usp=sharing"",""งบพรบ!DK19"")"),0)</f>
        <v>0</v>
      </c>
      <c r="N274" s="521">
        <f ca="1">IFERROR(__xludf.DUMMYFUNCTION("IMPORTRANGE(""https://docs.google.com/spreadsheets/d/1-uDff_7J0KD5mKrp0Vvzr7lt3OU09vwQwhkpOPPYv2Y/edit?usp=sharing"",""งบพรบ!DM19"")"),0)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10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100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137220</v>
      </c>
      <c r="M282" s="577">
        <f ca="1">M283+M284</f>
        <v>102480</v>
      </c>
      <c r="N282" s="577">
        <f ca="1">N283+N284</f>
        <v>22875</v>
      </c>
      <c r="O282" s="577">
        <f ca="1">IF(L282&gt;0,N282*100/L282,0)</f>
        <v>16.670310450371666</v>
      </c>
      <c r="P282" s="577">
        <f ca="1">IF(M282&gt;0,N282*100/M282,0)</f>
        <v>22.321428571428573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137220</v>
      </c>
      <c r="M284" s="425">
        <f ca="1">M287+M290</f>
        <v>102480</v>
      </c>
      <c r="N284" s="425">
        <f ca="1">N287+N290</f>
        <v>22875</v>
      </c>
      <c r="O284" s="425">
        <f ca="1">IF(L284&gt;0,N284*100/L284,0)</f>
        <v>16.670310450371666</v>
      </c>
      <c r="P284" s="425">
        <f ca="1">IF(M284&gt;0,N284*100/M284,0)</f>
        <v>22.321428571428573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137220</v>
      </c>
      <c r="M285" s="425">
        <f ca="1">M286+M287</f>
        <v>102480</v>
      </c>
      <c r="N285" s="425">
        <f ca="1">N286+N287</f>
        <v>22875</v>
      </c>
      <c r="O285" s="425">
        <f ca="1">IF(L285&gt;0,N285*100/L285,0)</f>
        <v>16.670310450371666</v>
      </c>
      <c r="P285" s="425">
        <f ca="1">IF(M285&gt;0,N285*100/M285,0)</f>
        <v>22.321428571428573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IFERROR(__xludf.DUMMYFUNCTION("IMPORTRANGE(""https://docs.google.com/spreadsheets/d/1-uDff_7J0KD5mKrp0Vvzr7lt3OU09vwQwhkpOPPYv2Y/edit?usp=sharing"",""งบพรบ!DO19"")"),137220)</f>
        <v>137220</v>
      </c>
      <c r="M287" s="425">
        <f ca="1">IFERROR(__xludf.DUMMYFUNCTION("IMPORTRANGE(""https://docs.google.com/spreadsheets/d/1-uDff_7J0KD5mKrp0Vvzr7lt3OU09vwQwhkpOPPYv2Y/edit?usp=sharing"",""งบพรบ!DT19"")"),102480)</f>
        <v>102480</v>
      </c>
      <c r="N287" s="425">
        <f ca="1">IFERROR(__xludf.DUMMYFUNCTION("IMPORTRANGE(""https://docs.google.com/spreadsheets/d/1-uDff_7J0KD5mKrp0Vvzr7lt3OU09vwQwhkpOPPYv2Y/edit?usp=sharing"",""งบพรบ!DV19"")"),22875)</f>
        <v>22875</v>
      </c>
      <c r="O287" s="425">
        <f ca="1">IF(L287&gt;0,N287*100/L287,0)</f>
        <v>16.670310450371666</v>
      </c>
      <c r="P287" s="425">
        <f ca="1">IF(M287&gt;0,N287*100/M287,0)</f>
        <v>22.321428571428573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IFERROR(__xludf.DUMMYFUNCTION("IMPORTRANGE(""https://docs.google.com/spreadsheets/d/1-uDff_7J0KD5mKrp0Vvzr7lt3OU09vwQwhkpOPPYv2Y/edit?usp=sharing"",""งบพรบ!DR19"")"),0)</f>
        <v>0</v>
      </c>
      <c r="M290" s="425">
        <f ca="1">IFERROR(__xludf.DUMMYFUNCTION("IMPORTRANGE(""https://docs.google.com/spreadsheets/d/1-uDff_7J0KD5mKrp0Vvzr7lt3OU09vwQwhkpOPPYv2Y/edit?usp=sharing"",""งบพรบ!DU19"")"),0)</f>
        <v>0</v>
      </c>
      <c r="N290" s="425">
        <f ca="1">IFERROR(__xludf.DUMMYFUNCTION("IMPORTRANGE(""https://docs.google.com/spreadsheets/d/1-uDff_7J0KD5mKrp0Vvzr7lt3OU09vwQwhkpOPPYv2Y/edit?usp=sharing"",""งบพรบ!DW19"")"),0)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IFERROR(__xludf.DUMMYFUNCTION("IMPORTRANGE(""https://docs.google.com/spreadsheets/d/1eHaY18a8A9IcSdp1K8H6x8fbOy06t2VsZHhMHf-1x7Y/edit?usp=sharing"",""แผน!EE19"")"),100)</f>
        <v>100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IFERROR(__xludf.DUMMYFUNCTION("IMPORTRANGE(""https://docs.google.com/spreadsheets/d/1eHaY18a8A9IcSdp1K8H6x8fbOy06t2VsZHhMHf-1x7Y/edit?usp=sharing"",""แผน!ED19"")"),10)</f>
        <v>10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IFERROR(__xludf.DUMMYFUNCTION("IMPORTRANGE(""https://docs.google.com/spreadsheets/d/1eHaY18a8A9IcSdp1K8H6x8fbOy06t2VsZHhMHf-1x7Y/edit?usp=sharing"",""แผน!ED19"")"),10)</f>
        <v>10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IFERROR(__xludf.DUMMYFUNCTION("IMPORTRANGE(""https://docs.google.com/spreadsheets/d/1eHaY18a8A9IcSdp1K8H6x8fbOy06t2VsZHhMHf-1x7Y/edit?usp=sharing"",""แผน!ED19"")"),10)</f>
        <v>10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IFERROR(__xludf.DUMMYFUNCTION("IMPORTRANGE(""https://docs.google.com/spreadsheets/d/1-uDff_7J0KD5mKrp0Vvzr7lt3OU09vwQwhkpOPPYv2Y/edit?usp=sharing"",""งบพรบ!DY19"")"),0)</f>
        <v>0</v>
      </c>
      <c r="M308" s="425">
        <f ca="1">IFERROR(__xludf.DUMMYFUNCTION("IMPORTRANGE(""https://docs.google.com/spreadsheets/d/1-uDff_7J0KD5mKrp0Vvzr7lt3OU09vwQwhkpOPPYv2Y/edit?usp=sharing"",""งบพรบ!ED19"")"),0)</f>
        <v>0</v>
      </c>
      <c r="N308" s="425">
        <f ca="1">IFERROR(__xludf.DUMMYFUNCTION("IMPORTRANGE(""https://docs.google.com/spreadsheets/d/1-uDff_7J0KD5mKrp0Vvzr7lt3OU09vwQwhkpOPPYv2Y/edit?usp=sharing"",""งบพรบ!EF19"")"),0)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IFERROR(__xludf.DUMMYFUNCTION("IMPORTRANGE(""https://docs.google.com/spreadsheets/d/1-uDff_7J0KD5mKrp0Vvzr7lt3OU09vwQwhkpOPPYv2Y/edit?usp=sharing"",""งบพรบ!EB19"")"),0)</f>
        <v>0</v>
      </c>
      <c r="M311" s="425">
        <f ca="1">IFERROR(__xludf.DUMMYFUNCTION("IMPORTRANGE(""https://docs.google.com/spreadsheets/d/1-uDff_7J0KD5mKrp0Vvzr7lt3OU09vwQwhkpOPPYv2Y/edit?usp=sharing"",""งบพรบ!EE19"")"),0)</f>
        <v>0</v>
      </c>
      <c r="N311" s="425">
        <f ca="1">IFERROR(__xludf.DUMMYFUNCTION("IMPORTRANGE(""https://docs.google.com/spreadsheets/d/1-uDff_7J0KD5mKrp0Vvzr7lt3OU09vwQwhkpOPPYv2Y/edit?usp=sharing"",""งบพรบ!EG19"")"),0)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IFERROR(__xludf.DUMMYFUNCTION("IMPORTRANGE(""https://docs.google.com/spreadsheets/d/1eHaY18a8A9IcSdp1K8H6x8fbOy06t2VsZHhMHf-1x7Y/edit?usp=sharing"",""แผน!EF19"")"),0)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IFERROR(__xludf.DUMMYFUNCTION("IMPORTRANGE(""https://docs.google.com/spreadsheets/d/1eHaY18a8A9IcSdp1K8H6x8fbOy06t2VsZHhMHf-1x7Y/edit?usp=sharing"",""แผน!EG19"")"),0)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IFERROR(__xludf.DUMMYFUNCTION("IMPORTRANGE(""https://docs.google.com/spreadsheets/d/1eHaY18a8A9IcSdp1K8H6x8fbOy06t2VsZHhMHf-1x7Y/edit?usp=sharing"",""แผน!EH19"")"),0)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IFERROR(__xludf.DUMMYFUNCTION("IMPORTRANGE(""https://docs.google.com/spreadsheets/d/1eHaY18a8A9IcSdp1K8H6x8fbOy06t2VsZHhMHf-1x7Y/edit?usp=sharing"",""แผน!EI19"")"),0)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IFERROR(__xludf.DUMMYFUNCTION("IMPORTRANGE(""https://docs.google.com/spreadsheets/d/1-uDff_7J0KD5mKrp0Vvzr7lt3OU09vwQwhkpOPPYv2Y/edit?usp=sharing"",""งบพรบ!EI19"")"),0)</f>
        <v>0</v>
      </c>
      <c r="M325" s="425">
        <f ca="1">IFERROR(__xludf.DUMMYFUNCTION("IMPORTRANGE(""https://docs.google.com/spreadsheets/d/1-uDff_7J0KD5mKrp0Vvzr7lt3OU09vwQwhkpOPPYv2Y/edit?usp=sharing"",""งบพรบ!EN19"")"),0)</f>
        <v>0</v>
      </c>
      <c r="N325" s="425">
        <f ca="1">IFERROR(__xludf.DUMMYFUNCTION("IMPORTRANGE(""https://docs.google.com/spreadsheets/d/1-uDff_7J0KD5mKrp0Vvzr7lt3OU09vwQwhkpOPPYv2Y/edit?usp=sharing"",""งบพรบ!EP19"")"),0)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IFERROR(__xludf.DUMMYFUNCTION("IMPORTRANGE(""https://docs.google.com/spreadsheets/d/1-uDff_7J0KD5mKrp0Vvzr7lt3OU09vwQwhkpOPPYv2Y/edit?usp=sharing"",""งบพรบ!EL19"")"),0)</f>
        <v>0</v>
      </c>
      <c r="M328" s="425">
        <f ca="1">IFERROR(__xludf.DUMMYFUNCTION("IMPORTRANGE(""https://docs.google.com/spreadsheets/d/1-uDff_7J0KD5mKrp0Vvzr7lt3OU09vwQwhkpOPPYv2Y/edit?usp=sharing"",""งบพรบ!EO19"")"),0)</f>
        <v>0</v>
      </c>
      <c r="N328" s="425">
        <f ca="1">IFERROR(__xludf.DUMMYFUNCTION("IMPORTRANGE(""https://docs.google.com/spreadsheets/d/1-uDff_7J0KD5mKrp0Vvzr7lt3OU09vwQwhkpOPPYv2Y/edit?usp=sharing"",""งบพรบ!EQ19"")"),0)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IFERROR(__xludf.DUMMYFUNCTION("IMPORTRANGE(""https://docs.google.com/spreadsheets/d/1eHaY18a8A9IcSdp1K8H6x8fbOy06t2VsZHhMHf-1x7Y/edit?usp=sharing"",""แผน!EJ19"")"),0)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1060</v>
      </c>
      <c r="J332" s="402">
        <f ca="1">J344+J347+J348+J349+J353</f>
        <v>1548</v>
      </c>
      <c r="K332" s="403">
        <f ca="1">IF(I332&gt;0,J332*100/I332,0)</f>
        <v>146.03773584905662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110000</v>
      </c>
      <c r="M333" s="577">
        <f ca="1">M334+M335</f>
        <v>85750</v>
      </c>
      <c r="N333" s="577">
        <f ca="1">N334+N335</f>
        <v>24000</v>
      </c>
      <c r="O333" s="577">
        <f ca="1">IF(L333&gt;0,N333*100/L333,0)</f>
        <v>21.818181818181817</v>
      </c>
      <c r="P333" s="577">
        <f ca="1">IF(M333&gt;0,N333*100/M333,0)</f>
        <v>27.988338192419825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110000</v>
      </c>
      <c r="M335" s="425">
        <f ca="1">M338+M341</f>
        <v>85750</v>
      </c>
      <c r="N335" s="425">
        <f ca="1">N338+N341</f>
        <v>24000</v>
      </c>
      <c r="O335" s="425">
        <f ca="1">IF(L335&gt;0,N335*100/L335,0)</f>
        <v>21.818181818181817</v>
      </c>
      <c r="P335" s="425">
        <f ca="1">IF(M335&gt;0,N335*100/M335,0)</f>
        <v>27.988338192419825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110000</v>
      </c>
      <c r="M336" s="425">
        <f ca="1">M337+M338</f>
        <v>85750</v>
      </c>
      <c r="N336" s="425">
        <f ca="1">N337+N338</f>
        <v>24000</v>
      </c>
      <c r="O336" s="425">
        <f ca="1">IF(L336&gt;0,N336*100/L336,0)</f>
        <v>21.818181818181817</v>
      </c>
      <c r="P336" s="425">
        <f ca="1">IF(M336&gt;0,N336*100/M336,0)</f>
        <v>27.988338192419825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IFERROR(__xludf.DUMMYFUNCTION("IMPORTRANGE(""https://docs.google.com/spreadsheets/d/1-uDff_7J0KD5mKrp0Vvzr7lt3OU09vwQwhkpOPPYv2Y/edit?usp=sharing"",""งบพรบ!ES19"")"),110000)</f>
        <v>110000</v>
      </c>
      <c r="M338" s="425">
        <f ca="1">IFERROR(__xludf.DUMMYFUNCTION("IMPORTRANGE(""https://docs.google.com/spreadsheets/d/1-uDff_7J0KD5mKrp0Vvzr7lt3OU09vwQwhkpOPPYv2Y/edit?usp=sharing"",""งบพรบ!EX19"")"),85750)</f>
        <v>85750</v>
      </c>
      <c r="N338" s="425">
        <f ca="1">IFERROR(__xludf.DUMMYFUNCTION("IMPORTRANGE(""https://docs.google.com/spreadsheets/d/1-uDff_7J0KD5mKrp0Vvzr7lt3OU09vwQwhkpOPPYv2Y/edit?usp=sharing"",""งบพรบ!EZ19"")"),24000)</f>
        <v>24000</v>
      </c>
      <c r="O338" s="425">
        <f ca="1">IF(L338&gt;0,N338*100/L338,0)</f>
        <v>21.818181818181817</v>
      </c>
      <c r="P338" s="425">
        <f ca="1">IF(M338&gt;0,N338*100/M338,0)</f>
        <v>27.988338192419825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IFERROR(__xludf.DUMMYFUNCTION("IMPORTRANGE(""https://docs.google.com/spreadsheets/d/1-uDff_7J0KD5mKrp0Vvzr7lt3OU09vwQwhkpOPPYv2Y/edit?usp=sharing"",""งบพรบ!EV19"")"),0)</f>
        <v>0</v>
      </c>
      <c r="M341" s="425">
        <f ca="1">IFERROR(__xludf.DUMMYFUNCTION("IMPORTRANGE(""https://docs.google.com/spreadsheets/d/1-uDff_7J0KD5mKrp0Vvzr7lt3OU09vwQwhkpOPPYv2Y/edit?usp=sharing"",""งบพรบ!EY19"")"),0)</f>
        <v>0</v>
      </c>
      <c r="N341" s="425">
        <f ca="1">IFERROR(__xludf.DUMMYFUNCTION("IMPORTRANGE(""https://docs.google.com/spreadsheets/d/1-uDff_7J0KD5mKrp0Vvzr7lt3OU09vwQwhkpOPPYv2Y/edit?usp=sharing"",""งบพรบ!FA19"")"),0)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511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IFERROR(__xludf.DUMMYFUNCTION("IMPORTRANGE(""https://docs.google.com/spreadsheets/d/1eHaY18a8A9IcSdp1K8H6x8fbOy06t2VsZHhMHf-1x7Y/edit?usp=sharing"",""แผน!EK19"")"),1060)</f>
        <v>1060</v>
      </c>
      <c r="J344" s="424">
        <f ca="1">IFERROR(__xludf.DUMMYFUNCTION("IMPORTRANGE(""https://docs.google.com/spreadsheets/d/1awYsYK3VOup2i3Pq_Yjnu8DRu_mYwSBnCR2QPthd0rU/edit?usp=sharing"",""ศูนย์ยกเว้นโฉนด!D19"")"),511)</f>
        <v>511</v>
      </c>
      <c r="K344" s="425">
        <f ca="1">IF(I344&gt;0,J344*100/I344,0)</f>
        <v>48.20754716981132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IFERROR(__xludf.DUMMYFUNCTION("IMPORTRANGE(""https://docs.google.com/spreadsheets/d/1eHaY18a8A9IcSdp1K8H6x8fbOy06t2VsZHhMHf-1x7Y/edit?usp=sharing"",""แผน!EL19"")"),5)</f>
        <v>5</v>
      </c>
      <c r="J346" s="424">
        <f ca="1">IFERROR(__xludf.DUMMYFUNCTION("IMPORTRANGE(""https://docs.google.com/spreadsheets/d/1awYsYK3VOup2i3Pq_Yjnu8DRu_mYwSBnCR2QPthd0rU/edit?usp=sharing"",""ศูนย์รวม!E19"")"),0)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IFERROR(__xludf.DUMMYFUNCTION("IMPORTRANGE(""https://docs.google.com/spreadsheets/d/1awYsYK3VOup2i3Pq_Yjnu8DRu_mYwSBnCR2QPthd0rU/edit?usp=sharing"",""ศูนย์ยกเว้นโฉนด!F19"")"),0)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IFERROR(__xludf.DUMMYFUNCTION("IMPORTRANGE(""https://docs.google.com/spreadsheets/d/1awYsYK3VOup2i3Pq_Yjnu8DRu_mYwSBnCR2QPthd0rU/edit?usp=sharing"",""ศูนย์ยกเว้นโฉนด!G19"")"),0)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IFERROR(__xludf.DUMMYFUNCTION("IMPORTRANGE(""https://docs.google.com/spreadsheets/d/1awYsYK3VOup2i3Pq_Yjnu8DRu_mYwSBnCR2QPthd0rU/edit?usp=sharing"",""ศูนย์ยกเว้นโฉนด!H19"")"),0)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1338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IFERROR(__xludf.DUMMYFUNCTION("IMPORTRANGE(""https://docs.google.com/spreadsheets/d/1awYsYK3VOup2i3Pq_Yjnu8DRu_mYwSBnCR2QPthd0rU/edit?usp=sharing"",""โฉนดM3!G19"")"),301)</f>
        <v>301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IFERROR(__xludf.DUMMYFUNCTION("IMPORTRANGE(""https://docs.google.com/spreadsheets/d/1awYsYK3VOup2i3Pq_Yjnu8DRu_mYwSBnCR2QPthd0rU/edit?usp=sharing"",""โฉนดM3!H19"")"),1037)</f>
        <v>1037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814875</v>
      </c>
      <c r="M356" s="577">
        <f ca="1">M357+M358</f>
        <v>717275</v>
      </c>
      <c r="N356" s="577">
        <f ca="1">N357+N358</f>
        <v>149420</v>
      </c>
      <c r="O356" s="577">
        <f ca="1">IF(L356&gt;0,N356*100/L356,0)</f>
        <v>18.336554686301579</v>
      </c>
      <c r="P356" s="577">
        <f ca="1">IF(M356&gt;0,N356*100/M356,0)</f>
        <v>20.831619671674044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814875</v>
      </c>
      <c r="M358" s="425">
        <f ca="1">M361+M364</f>
        <v>717275</v>
      </c>
      <c r="N358" s="425">
        <f ca="1">N361+N364</f>
        <v>149420</v>
      </c>
      <c r="O358" s="425">
        <f ca="1">IF(L358&gt;0,N358*100/L358,0)</f>
        <v>18.336554686301579</v>
      </c>
      <c r="P358" s="425">
        <f ca="1">IF(M358&gt;0,N358*100/M358,0)</f>
        <v>20.831619671674044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814875</v>
      </c>
      <c r="M359" s="425">
        <f ca="1">M360+M361</f>
        <v>717275</v>
      </c>
      <c r="N359" s="425">
        <f ca="1">N360+N361</f>
        <v>149420</v>
      </c>
      <c r="O359" s="425">
        <f ca="1">IF(L359&gt;0,N359*100/L359,0)</f>
        <v>18.336554686301579</v>
      </c>
      <c r="P359" s="425">
        <f ca="1">IF(M359&gt;0,N359*100/M359,0)</f>
        <v>20.831619671674044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IFERROR(__xludf.DUMMYFUNCTION("IMPORTRANGE(""https://docs.google.com/spreadsheets/d/1-uDff_7J0KD5mKrp0Vvzr7lt3OU09vwQwhkpOPPYv2Y/edit?usp=sharing"",""งบพรบ!FC19"")"),814875)</f>
        <v>814875</v>
      </c>
      <c r="M361" s="425">
        <f ca="1">IFERROR(__xludf.DUMMYFUNCTION("IMPORTRANGE(""https://docs.google.com/spreadsheets/d/1-uDff_7J0KD5mKrp0Vvzr7lt3OU09vwQwhkpOPPYv2Y/edit?usp=sharing"",""งบพรบ!FH19"")"),717275)</f>
        <v>717275</v>
      </c>
      <c r="N361" s="425">
        <f ca="1">IFERROR(__xludf.DUMMYFUNCTION("IMPORTRANGE(""https://docs.google.com/spreadsheets/d/1-uDff_7J0KD5mKrp0Vvzr7lt3OU09vwQwhkpOPPYv2Y/edit?usp=sharing"",""งบพรบ!FJ19"")"),149420)</f>
        <v>149420</v>
      </c>
      <c r="O361" s="425">
        <f ca="1">IF(L361&gt;0,N361*100/L361,0)</f>
        <v>18.336554686301579</v>
      </c>
      <c r="P361" s="425">
        <f ca="1">IF(M361&gt;0,N361*100/M361,0)</f>
        <v>20.831619671674044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IFERROR(__xludf.DUMMYFUNCTION("IMPORTRANGE(""https://docs.google.com/spreadsheets/d/1-uDff_7J0KD5mKrp0Vvzr7lt3OU09vwQwhkpOPPYv2Y/edit?usp=sharing"",""งบพรบ!FF19"")"),0)</f>
        <v>0</v>
      </c>
      <c r="M364" s="425">
        <f ca="1">IFERROR(__xludf.DUMMYFUNCTION("IMPORTRANGE(""https://docs.google.com/spreadsheets/d/1-uDff_7J0KD5mKrp0Vvzr7lt3OU09vwQwhkpOPPYv2Y/edit?usp=sharing"",""งบพรบ!FI19"")"),0)</f>
        <v>0</v>
      </c>
      <c r="N364" s="425">
        <f ca="1">IFERROR(__xludf.DUMMYFUNCTION("IMPORTRANGE(""https://docs.google.com/spreadsheets/d/1-uDff_7J0KD5mKrp0Vvzr7lt3OU09vwQwhkpOPPYv2Y/edit?usp=sharing"",""งบพรบ!FK19"")"),0)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532</v>
      </c>
      <c r="J365" s="438">
        <f ca="1">J371</f>
        <v>267</v>
      </c>
      <c r="K365" s="439">
        <f ca="1">IF(I365&gt;0,J365*100/I365,0)</f>
        <v>50.18796992481203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IFERROR(__xludf.DUMMYFUNCTION("IMPORTRANGE(""https://docs.google.com/spreadsheets/d/1tdoBKaGub7dwA3U6UFTqxio9LNnvDCQjHKmttSEBsFQ/edit?usp=sharing"",""จัดที่ดิน!AB19"")"),58)</f>
        <v>58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IFERROR(__xludf.DUMMYFUNCTION("IMPORTRANGE(""https://docs.google.com/spreadsheets/d/1eHaY18a8A9IcSdp1K8H6x8fbOy06t2VsZHhMHf-1x7Y/edit?usp=sharing"",""แผน!EW19"")"),4230)</f>
        <v>4230</v>
      </c>
      <c r="J368" s="565">
        <f ca="1">IFERROR(__xludf.DUMMYFUNCTION("IMPORTRANGE(""https://docs.google.com/spreadsheets/d/1tdoBKaGub7dwA3U6UFTqxio9LNnvDCQjHKmttSEBsFQ/edit?usp=sharing"",""จัดที่ดิน!AC19"")"),278.25)</f>
        <v>278.25</v>
      </c>
      <c r="K368" s="425">
        <f ca="1">IF(I368&gt;0,J368*100/I368,0)</f>
        <v>6.5780141843971629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IFERROR(__xludf.DUMMYFUNCTION("IMPORTRANGE(""https://docs.google.com/spreadsheets/d/1eHaY18a8A9IcSdp1K8H6x8fbOy06t2VsZHhMHf-1x7Y/edit?usp=sharing"",""แผน!EX19"")"),820)</f>
        <v>820</v>
      </c>
      <c r="J369" s="424">
        <f ca="1">IFERROR(__xludf.DUMMYFUNCTION("IMPORTRANGE(""https://docs.google.com/spreadsheets/d/1tdoBKaGub7dwA3U6UFTqxio9LNnvDCQjHKmttSEBsFQ/edit?usp=sharing"",""จัดที่ดิน!AD19"")"),267)</f>
        <v>267</v>
      </c>
      <c r="K369" s="425">
        <f ca="1">IF(I369&gt;0,J369*100/I369,0)</f>
        <v>32.560975609756099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IFERROR(__xludf.DUMMYFUNCTION("IMPORTRANGE(""https://docs.google.com/spreadsheets/d/1tdoBKaGub7dwA3U6UFTqxio9LNnvDCQjHKmttSEBsFQ/edit?usp=sharing"",""จัดที่ดิน!AE19"")"),1823.76)</f>
        <v>1823.76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IFERROR(__xludf.DUMMYFUNCTION("IMPORTRANGE(""https://docs.google.com/spreadsheets/d/1eHaY18a8A9IcSdp1K8H6x8fbOy06t2VsZHhMHf-1x7Y/edit?usp=sharing"",""แผน!EY19"")"),532)</f>
        <v>532</v>
      </c>
      <c r="J371" s="424">
        <f ca="1">IFERROR(__xludf.DUMMYFUNCTION("IMPORTRANGE(""https://docs.google.com/spreadsheets/d/1tdoBKaGub7dwA3U6UFTqxio9LNnvDCQjHKmttSEBsFQ/edit?usp=sharing"",""จัดที่ดิน!AF19"")"),267)</f>
        <v>267</v>
      </c>
      <c r="K371" s="425">
        <f ca="1">IF(I371&gt;0,J371*100/I371,0)</f>
        <v>50.18796992481203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IFERROR(__xludf.DUMMYFUNCTION("IMPORTRANGE(""https://docs.google.com/spreadsheets/d/1tdoBKaGub7dwA3U6UFTqxio9LNnvDCQjHKmttSEBsFQ/edit?usp=sharing"",""จัดที่ดิน!AG19"")"),1823.76)</f>
        <v>1823.76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IFERROR(__xludf.DUMMYFUNCTION("IMPORTRANGE(""https://docs.google.com/spreadsheets/d/1-uDff_7J0KD5mKrp0Vvzr7lt3OU09vwQwhkpOPPYv2Y/edit?usp=sharing"",""งบพรบ!FM19"")"),0)</f>
        <v>0</v>
      </c>
      <c r="M382" s="521">
        <f ca="1">IFERROR(__xludf.DUMMYFUNCTION("IMPORTRANGE(""https://docs.google.com/spreadsheets/d/1-uDff_7J0KD5mKrp0Vvzr7lt3OU09vwQwhkpOPPYv2Y/edit?usp=sharing"",""งบพรบ!FR19"")"),0)</f>
        <v>0</v>
      </c>
      <c r="N382" s="521">
        <f ca="1">IFERROR(__xludf.DUMMYFUNCTION("IMPORTRANGE(""https://docs.google.com/spreadsheets/d/1-uDff_7J0KD5mKrp0Vvzr7lt3OU09vwQwhkpOPPYv2Y/edit?usp=sharing"",""งบพรบ!FT19"")"),0)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IFERROR(__xludf.DUMMYFUNCTION("IMPORTRANGE(""https://docs.google.com/spreadsheets/d/1-uDff_7J0KD5mKrp0Vvzr7lt3OU09vwQwhkpOPPYv2Y/edit?usp=sharing"",""งบพรบ!FP19"")"),0)</f>
        <v>0</v>
      </c>
      <c r="M385" s="521">
        <f ca="1">IFERROR(__xludf.DUMMYFUNCTION("IMPORTRANGE(""https://docs.google.com/spreadsheets/d/1-uDff_7J0KD5mKrp0Vvzr7lt3OU09vwQwhkpOPPYv2Y/edit?usp=sharing"",""งบพรบ!FS19"")"),0)</f>
        <v>0</v>
      </c>
      <c r="N385" s="521">
        <f ca="1">IFERROR(__xludf.DUMMYFUNCTION("IMPORTRANGE(""https://docs.google.com/spreadsheets/d/1-uDff_7J0KD5mKrp0Vvzr7lt3OU09vwQwhkpOPPYv2Y/edit?usp=sharing"",""งบพรบ!FU19"")"),0)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36F6-D88D-4175-91E0-189DF1186B9D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171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2260740</v>
      </c>
      <c r="M18" s="704">
        <f ca="1">M19+M20</f>
        <v>1970470</v>
      </c>
      <c r="N18" s="704">
        <f ca="1">N19+N20</f>
        <v>535280.29</v>
      </c>
      <c r="O18" s="704">
        <f ca="1">IF(L18&gt;0,N18*100/L18,0)</f>
        <v>23.677215867370862</v>
      </c>
      <c r="P18" s="704">
        <f ca="1">IF(M18&gt;0,N18*100/M18,0)</f>
        <v>27.165107309423639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2260740</v>
      </c>
      <c r="M20" s="817">
        <f ca="1">M23+M26</f>
        <v>1970470</v>
      </c>
      <c r="N20" s="817">
        <f ca="1">N23+N26</f>
        <v>535280.29</v>
      </c>
      <c r="O20" s="817">
        <f ca="1">IF(L20&gt;0,N20*100/L20,0)</f>
        <v>23.677215867370862</v>
      </c>
      <c r="P20" s="817">
        <f ca="1">IF(M20&gt;0,N20*100/M20,0)</f>
        <v>27.165107309423639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2260740</v>
      </c>
      <c r="M21" s="425">
        <f ca="1">M22+M23</f>
        <v>1970470</v>
      </c>
      <c r="N21" s="425">
        <f ca="1">N22+N23</f>
        <v>535280.29</v>
      </c>
      <c r="O21" s="425">
        <f ca="1">IF(L21&gt;0,N21*100/L21,0)</f>
        <v>23.677215867370862</v>
      </c>
      <c r="P21" s="425">
        <f ca="1">IF(M21&gt;0,N21*100/M21,0)</f>
        <v>27.165107309423639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2260740</v>
      </c>
      <c r="M23" s="425">
        <f ca="1">M49+M64+M77+M99+M130+M144+M162+M191+M178+M271+M287+M308+M325+M338+M361+M382</f>
        <v>1970470</v>
      </c>
      <c r="N23" s="425">
        <f ca="1">N49+N64+N77+N99+N130+N144+N162+N191+N178+N271+N287+N308+N325+N338+N361+N382</f>
        <v>535280.29</v>
      </c>
      <c r="O23" s="425">
        <f ca="1">IF(L23&gt;0,N23*100/L23,0)</f>
        <v>23.677215867370862</v>
      </c>
      <c r="P23" s="425">
        <f ca="1">IF(M23&gt;0,N23*100/M23,0)</f>
        <v>27.165107309423639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2260740</v>
      </c>
      <c r="M40" s="809">
        <f ca="1">M44+M59+M72+M94+M125+M139+M157+M173+M186+M266+M282+M303+M320+M333+M356</f>
        <v>1970470</v>
      </c>
      <c r="N40" s="809">
        <f ca="1">N44+N59+N72+N94+N125+N139+N157+N173+N186+N266+N282+N303+N320+N333+N356</f>
        <v>535280.29</v>
      </c>
      <c r="O40" s="809">
        <f ca="1">IF(L40&gt;0,N40*100/L40,0)</f>
        <v>23.677215867370862</v>
      </c>
      <c r="P40" s="809">
        <f ca="1">IF(M40&gt;0,N40*100/M40,0)</f>
        <v>27.165107309423639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261550</v>
      </c>
      <c r="M44" s="794">
        <f ca="1">M45+M46</f>
        <v>268300</v>
      </c>
      <c r="N44" s="794">
        <f ca="1">N45+N46</f>
        <v>174450</v>
      </c>
      <c r="O44" s="794">
        <f ca="1">IF(L44&gt;0,N44*100/L44,0)</f>
        <v>66.698528006117371</v>
      </c>
      <c r="P44" s="794">
        <f ca="1">IF(M44&gt;0,N44*100/M44,0)</f>
        <v>65.02049944092434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261550</v>
      </c>
      <c r="M46" s="783">
        <f ca="1">M49+M52</f>
        <v>268300</v>
      </c>
      <c r="N46" s="783">
        <f ca="1">N49+N52</f>
        <v>174450</v>
      </c>
      <c r="O46" s="783">
        <f ca="1">IF(L46&gt;0,N46*100/L46,0)</f>
        <v>66.698528006117371</v>
      </c>
      <c r="P46" s="783">
        <f ca="1">IF(M46&gt;0,N46*100/M46,0)</f>
        <v>65.02049944092434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261550</v>
      </c>
      <c r="M47" s="425">
        <f ca="1">M48+M49</f>
        <v>268300</v>
      </c>
      <c r="N47" s="425">
        <f ca="1">N48+N49</f>
        <v>174450</v>
      </c>
      <c r="O47" s="425">
        <f ca="1">IF(L47&gt;0,N47*100/L47,0)</f>
        <v>66.698528006117371</v>
      </c>
      <c r="P47" s="425">
        <f ca="1">IF(M47&gt;0,N47*100/M47,0)</f>
        <v>65.02049944092434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IFERROR(__xludf.DUMMYFUNCTION("IMPORTRANGE(""https://docs.google.com/spreadsheets/d/1-uDff_7J0KD5mKrp0Vvzr7lt3OU09vwQwhkpOPPYv2Y/edit?usp=sharing"",""งบพรบ!P20"")"),261550)</f>
        <v>261550</v>
      </c>
      <c r="M49" s="425">
        <f ca="1">IFERROR(__xludf.DUMMYFUNCTION("IMPORTRANGE(""https://docs.google.com/spreadsheets/d/1-uDff_7J0KD5mKrp0Vvzr7lt3OU09vwQwhkpOPPYv2Y/edit?usp=sharing"",""งบพรบ!V20"")"),268300)</f>
        <v>268300</v>
      </c>
      <c r="N49" s="425">
        <f ca="1">IFERROR(__xludf.DUMMYFUNCTION("IMPORTRANGE(""https://docs.google.com/spreadsheets/d/1-uDff_7J0KD5mKrp0Vvzr7lt3OU09vwQwhkpOPPYv2Y/edit?usp=sharing"",""งบพรบ!Y20"")"),174450)</f>
        <v>174450</v>
      </c>
      <c r="O49" s="425">
        <f ca="1">IF(L49&gt;0,N49*100/L49,0)</f>
        <v>66.698528006117371</v>
      </c>
      <c r="P49" s="425">
        <f ca="1">IF(M49&gt;0,N49*100/M49,0)</f>
        <v>65.02049944092434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IFERROR(__xludf.DUMMYFUNCTION("IMPORTRANGE(""https://docs.google.com/spreadsheets/d/1-uDff_7J0KD5mKrp0Vvzr7lt3OU09vwQwhkpOPPYv2Y/edit?usp=sharing"",""งบพรบ!S20"")"),0)</f>
        <v>0</v>
      </c>
      <c r="M52" s="425">
        <f ca="1">IFERROR(__xludf.DUMMYFUNCTION("IMPORTRANGE(""https://docs.google.com/spreadsheets/d/1-uDff_7J0KD5mKrp0Vvzr7lt3OU09vwQwhkpOPPYv2Y/edit?usp=sharing"",""งบพรบ!W20"")"),0)</f>
        <v>0</v>
      </c>
      <c r="N52" s="425">
        <f ca="1">IFERROR(__xludf.DUMMYFUNCTION("IMPORTRANGE(""https://docs.google.com/spreadsheets/d/1-uDff_7J0KD5mKrp0Vvzr7lt3OU09vwQwhkpOPPYv2Y/edit?usp=sharing"",""งบพรบ!Z20"")"),0)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424100</v>
      </c>
      <c r="M59" s="763">
        <f ca="1">M60+M61</f>
        <v>320350</v>
      </c>
      <c r="N59" s="763">
        <f ca="1">N60+N61</f>
        <v>62801.29</v>
      </c>
      <c r="O59" s="763">
        <f ca="1">IF(L59&gt;0,N59*100/L59,0)</f>
        <v>14.808132515916057</v>
      </c>
      <c r="P59" s="763">
        <f ca="1">IF(M59&gt;0,N59*100/M59,0)</f>
        <v>19.603961292336507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424100</v>
      </c>
      <c r="M61" s="752">
        <f ca="1">M64+M67</f>
        <v>320350</v>
      </c>
      <c r="N61" s="752">
        <f ca="1">N64+N67</f>
        <v>62801.29</v>
      </c>
      <c r="O61" s="752">
        <f ca="1">IF(L61&gt;0,N61*100/L61,0)</f>
        <v>14.808132515916057</v>
      </c>
      <c r="P61" s="752">
        <f ca="1">IF(M61&gt;0,N61*100/M61,0)</f>
        <v>19.603961292336507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424100</v>
      </c>
      <c r="M62" s="425">
        <f ca="1">M63+M64</f>
        <v>320350</v>
      </c>
      <c r="N62" s="425">
        <f ca="1">N63+N64</f>
        <v>62801.29</v>
      </c>
      <c r="O62" s="425">
        <f ca="1">IF(L62&gt;0,N62*100/L62,0)</f>
        <v>14.808132515916057</v>
      </c>
      <c r="P62" s="425">
        <f ca="1">IF(M62&gt;0,N62*100/M62,0)</f>
        <v>19.603961292336507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IFERROR(__xludf.DUMMYFUNCTION("IMPORTRANGE(""https://docs.google.com/spreadsheets/d/1-uDff_7J0KD5mKrp0Vvzr7lt3OU09vwQwhkpOPPYv2Y/edit?usp=sharing"",""งบพรบ!AC20"")"),424100)</f>
        <v>424100</v>
      </c>
      <c r="M64" s="425">
        <f ca="1">IFERROR(__xludf.DUMMYFUNCTION("IMPORTRANGE(""https://docs.google.com/spreadsheets/d/1-uDff_7J0KD5mKrp0Vvzr7lt3OU09vwQwhkpOPPYv2Y/edit?usp=sharing"",""งบพรบ!AH20"")"),320350)</f>
        <v>320350</v>
      </c>
      <c r="N64" s="425">
        <f ca="1">IFERROR(__xludf.DUMMYFUNCTION("IMPORTRANGE(""https://docs.google.com/spreadsheets/d/1-uDff_7J0KD5mKrp0Vvzr7lt3OU09vwQwhkpOPPYv2Y/edit?usp=sharing"",""งบพรบ!AJ20"")"),62801.29)</f>
        <v>62801.29</v>
      </c>
      <c r="O64" s="425">
        <f ca="1">IF(L64&gt;0,N64*100/L64,0)</f>
        <v>14.808132515916057</v>
      </c>
      <c r="P64" s="425">
        <f ca="1">IF(M64&gt;0,N64*100/M64,0)</f>
        <v>19.603961292336507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IFERROR(__xludf.DUMMYFUNCTION("IMPORTRANGE(""https://docs.google.com/spreadsheets/d/1-uDff_7J0KD5mKrp0Vvzr7lt3OU09vwQwhkpOPPYv2Y/edit?usp=sharing"",""งบพรบ!AF20"")"),0)</f>
        <v>0</v>
      </c>
      <c r="M67" s="747">
        <f ca="1">IFERROR(__xludf.DUMMYFUNCTION("IMPORTRANGE(""https://docs.google.com/spreadsheets/d/1-uDff_7J0KD5mKrp0Vvzr7lt3OU09vwQwhkpOPPYv2Y/edit?usp=sharing"",""งบพรบ!AI20"")"),0)</f>
        <v>0</v>
      </c>
      <c r="N67" s="747">
        <f ca="1">IFERROR(__xludf.DUMMYFUNCTION("IMPORTRANGE(""https://docs.google.com/spreadsheets/d/1-uDff_7J0KD5mKrp0Vvzr7lt3OU09vwQwhkpOPPYv2Y/edit?usp=sharing"",""งบพรบ!AK20"")"),0)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1</v>
      </c>
      <c r="J70" s="705">
        <f>J82</f>
        <v>1</v>
      </c>
      <c r="K70" s="704">
        <f ca="1">IF(I70&gt;0,J70*100/I70,0)</f>
        <v>100</v>
      </c>
      <c r="L70" s="703"/>
      <c r="M70" s="703"/>
      <c r="N70" s="703"/>
      <c r="O70" s="703"/>
      <c r="P70" s="703"/>
    </row>
    <row r="71" spans="1:16" ht="19.5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30</v>
      </c>
      <c r="J71" s="705">
        <f>J83</f>
        <v>30</v>
      </c>
      <c r="K71" s="704">
        <f ca="1">IF(I71&gt;0,J71*100/I71,0)</f>
        <v>100</v>
      </c>
      <c r="L71" s="703"/>
      <c r="M71" s="703"/>
      <c r="N71" s="703"/>
      <c r="O71" s="703"/>
      <c r="P71" s="703"/>
    </row>
    <row r="72" spans="1:16" ht="19.5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640200</v>
      </c>
      <c r="M72" s="577">
        <f ca="1">M73+M74</f>
        <v>525500</v>
      </c>
      <c r="N72" s="577">
        <f ca="1">N73+N74</f>
        <v>167280</v>
      </c>
      <c r="O72" s="577">
        <f ca="1">IF(L72&gt;0,N72*100/L72,0)</f>
        <v>26.129334582942832</v>
      </c>
      <c r="P72" s="577">
        <f ca="1">IF(M72&gt;0,N72*100/M72,0)</f>
        <v>31.8325404376784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640200</v>
      </c>
      <c r="M74" s="425">
        <f ca="1">M77+M80</f>
        <v>525500</v>
      </c>
      <c r="N74" s="425">
        <f ca="1">N77+N80</f>
        <v>167280</v>
      </c>
      <c r="O74" s="425">
        <f ca="1">IF(L74&gt;0,N74*100/L74,0)</f>
        <v>26.129334582942832</v>
      </c>
      <c r="P74" s="425">
        <f ca="1">IF(M74&gt;0,N74*100/M74,0)</f>
        <v>31.8325404376784</v>
      </c>
    </row>
    <row r="75" spans="1:16" ht="18.75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640200</v>
      </c>
      <c r="M75" s="425">
        <f ca="1">M76+M77</f>
        <v>525500</v>
      </c>
      <c r="N75" s="425">
        <f ca="1">N76+N77</f>
        <v>167280</v>
      </c>
      <c r="O75" s="425">
        <f ca="1">IF(L75&gt;0,N75*100/L75,0)</f>
        <v>26.129334582942832</v>
      </c>
      <c r="P75" s="425">
        <f ca="1">IF(M75&gt;0,N75*100/M75,0)</f>
        <v>31.8325404376784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IFERROR(__xludf.DUMMYFUNCTION("IMPORTRANGE(""https://docs.google.com/spreadsheets/d/1-uDff_7J0KD5mKrp0Vvzr7lt3OU09vwQwhkpOPPYv2Y/edit?usp=sharing"",""งบพรบ!AM20"")"),640200)</f>
        <v>640200</v>
      </c>
      <c r="M77" s="425">
        <f ca="1">IFERROR(__xludf.DUMMYFUNCTION("IMPORTRANGE(""https://docs.google.com/spreadsheets/d/1-uDff_7J0KD5mKrp0Vvzr7lt3OU09vwQwhkpOPPYv2Y/edit?usp=sharing"",""งบพรบ!AR20"")"),525500)</f>
        <v>525500</v>
      </c>
      <c r="N77" s="425">
        <f ca="1">IFERROR(__xludf.DUMMYFUNCTION("IMPORTRANGE(""https://docs.google.com/spreadsheets/d/1-uDff_7J0KD5mKrp0Vvzr7lt3OU09vwQwhkpOPPYv2Y/edit?usp=sharing"",""งบพรบ!AT20"")"),167280)</f>
        <v>167280</v>
      </c>
      <c r="O77" s="425">
        <f ca="1">IF(L77&gt;0,N77*100/L77,0)</f>
        <v>26.129334582942832</v>
      </c>
      <c r="P77" s="425">
        <f ca="1">IF(M77&gt;0,N77*100/M77,0)</f>
        <v>31.8325404376784</v>
      </c>
    </row>
    <row r="78" spans="1:16" ht="18.75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IFERROR(__xludf.DUMMYFUNCTION("IMPORTRANGE(""https://docs.google.com/spreadsheets/d/1-uDff_7J0KD5mKrp0Vvzr7lt3OU09vwQwhkpOPPYv2Y/edit?usp=sharing"",""งบพรบ!AP20"")"),0)</f>
        <v>0</v>
      </c>
      <c r="M80" s="425">
        <f ca="1">IFERROR(__xludf.DUMMYFUNCTION("IMPORTRANGE(""https://docs.google.com/spreadsheets/d/1-uDff_7J0KD5mKrp0Vvzr7lt3OU09vwQwhkpOPPYv2Y/edit?usp=sharing"",""งบพรบ!AS20"")"),0)</f>
        <v>0</v>
      </c>
      <c r="N80" s="425">
        <f ca="1">IFERROR(__xludf.DUMMYFUNCTION("IMPORTRANGE(""https://docs.google.com/spreadsheets/d/1-uDff_7J0KD5mKrp0Vvzr7lt3OU09vwQwhkpOPPYv2Y/edit?usp=sharing"",""งบพรบ!AU20"")"),0)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1</v>
      </c>
      <c r="J82" s="625">
        <f>J84+J86+J88</f>
        <v>1</v>
      </c>
      <c r="K82" s="624">
        <f ca="1">IF(I82&gt;0,J82*100/I82,0)</f>
        <v>100</v>
      </c>
      <c r="L82" s="525"/>
      <c r="M82" s="525"/>
      <c r="N82" s="525"/>
      <c r="O82" s="525"/>
      <c r="P82" s="525"/>
    </row>
    <row r="83" spans="1:16" ht="19.5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30</v>
      </c>
      <c r="J83" s="625">
        <f>J85+J87+J89</f>
        <v>30</v>
      </c>
      <c r="K83" s="624">
        <f ca="1">IF(I83&gt;0,J83*100/I83,0)</f>
        <v>100</v>
      </c>
      <c r="L83" s="525"/>
      <c r="M83" s="525"/>
      <c r="N83" s="525"/>
      <c r="O83" s="525"/>
      <c r="P83" s="525"/>
    </row>
    <row r="84" spans="1:16" ht="18.75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IFERROR(__xludf.DUMMYFUNCTION("IMPORTRANGE(""https://docs.google.com/spreadsheets/d/1eHaY18a8A9IcSdp1K8H6x8fbOy06t2VsZHhMHf-1x7Y/edit?usp=sharing"",""แผน!H20"")"),0)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IFERROR(__xludf.DUMMYFUNCTION("IMPORTRANGE(""https://docs.google.com/spreadsheets/d/1eHaY18a8A9IcSdp1K8H6x8fbOy06t2VsZHhMHf-1x7Y/edit?usp=sharing"",""แผน!I20"")"),0)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IFERROR(__xludf.DUMMYFUNCTION("IMPORTRANGE(""https://docs.google.com/spreadsheets/d/1eHaY18a8A9IcSdp1K8H6x8fbOy06t2VsZHhMHf-1x7Y/edit?usp=sharing"",""แผน!F20"")"),0)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IFERROR(__xludf.DUMMYFUNCTION("IMPORTRANGE(""https://docs.google.com/spreadsheets/d/1eHaY18a8A9IcSdp1K8H6x8fbOy06t2VsZHhMHf-1x7Y/edit?usp=sharing"",""แผน!G20"")"),0)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IFERROR(__xludf.DUMMYFUNCTION("IMPORTRANGE(""https://docs.google.com/spreadsheets/d/1eHaY18a8A9IcSdp1K8H6x8fbOy06t2VsZHhMHf-1x7Y/edit?usp=sharing"",""แผน!D20"")"),1)</f>
        <v>1</v>
      </c>
      <c r="J88" s="595">
        <v>1</v>
      </c>
      <c r="K88" s="621">
        <f ca="1">IF(I88&gt;0,J88*100/I88,0)</f>
        <v>100</v>
      </c>
      <c r="L88" s="525"/>
      <c r="M88" s="525"/>
      <c r="N88" s="525"/>
      <c r="O88" s="525"/>
      <c r="P88" s="525"/>
    </row>
    <row r="89" spans="1:16" ht="18.75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IFERROR(__xludf.DUMMYFUNCTION("IMPORTRANGE(""https://docs.google.com/spreadsheets/d/1eHaY18a8A9IcSdp1K8H6x8fbOy06t2VsZHhMHf-1x7Y/edit?usp=sharing"",""แผน!E20"")"),30)</f>
        <v>30</v>
      </c>
      <c r="J89" s="595">
        <v>30</v>
      </c>
      <c r="K89" s="621">
        <f ca="1">IF(I89&gt;0,J89*100/I89,0)</f>
        <v>100</v>
      </c>
      <c r="L89" s="525"/>
      <c r="M89" s="525"/>
      <c r="N89" s="525"/>
      <c r="O89" s="525"/>
      <c r="P89" s="525"/>
    </row>
    <row r="90" spans="1:16" ht="18.75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IFERROR(__xludf.DUMMYFUNCTION("IMPORTRANGE(""https://docs.google.com/spreadsheets/d/1eHaY18a8A9IcSdp1K8H6x8fbOy06t2VsZHhMHf-1x7Y/edit?usp=sharing"",""แผน!J20"")"),1)</f>
        <v>1</v>
      </c>
      <c r="J90" s="595">
        <v>1</v>
      </c>
      <c r="K90" s="621">
        <f ca="1">IF(I90&gt;0,J90*100/I90,0)</f>
        <v>100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IFERROR(__xludf.DUMMYFUNCTION("IMPORTRANGE(""https://docs.google.com/spreadsheets/d/1-uDff_7J0KD5mKrp0Vvzr7lt3OU09vwQwhkpOPPYv2Y/edit?usp=sharing"",""งบพรบ!AW20"")"),0)</f>
        <v>0</v>
      </c>
      <c r="M99" s="425">
        <f ca="1">IFERROR(__xludf.DUMMYFUNCTION("IMPORTRANGE(""https://docs.google.com/spreadsheets/d/1-uDff_7J0KD5mKrp0Vvzr7lt3OU09vwQwhkpOPPYv2Y/edit?usp=sharing"",""งบพรบ!BB20"")"),0)</f>
        <v>0</v>
      </c>
      <c r="N99" s="425">
        <f ca="1">IFERROR(__xludf.DUMMYFUNCTION("IMPORTRANGE(""https://docs.google.com/spreadsheets/d/1-uDff_7J0KD5mKrp0Vvzr7lt3OU09vwQwhkpOPPYv2Y/edit?usp=sharing"",""งบพรบ!BD20"")"),0)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IFERROR(__xludf.DUMMYFUNCTION("IMPORTRANGE(""https://docs.google.com/spreadsheets/d/1-uDff_7J0KD5mKrp0Vvzr7lt3OU09vwQwhkpOPPYv2Y/edit?usp=sharing"",""งบพรบ!AZ20"")"),0)</f>
        <v>0</v>
      </c>
      <c r="M102" s="425">
        <f ca="1">IFERROR(__xludf.DUMMYFUNCTION("IMPORTRANGE(""https://docs.google.com/spreadsheets/d/1-uDff_7J0KD5mKrp0Vvzr7lt3OU09vwQwhkpOPPYv2Y/edit?usp=sharing"",""งบพรบ!BC20"")"),0)</f>
        <v>0</v>
      </c>
      <c r="N102" s="425">
        <f ca="1">IFERROR(__xludf.DUMMYFUNCTION("IMPORTRANGE(""https://docs.google.com/spreadsheets/d/1-uDff_7J0KD5mKrp0Vvzr7lt3OU09vwQwhkpOPPYv2Y/edit?usp=sharing"",""งบพรบ!BE20"")"),0)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IFERROR(__xludf.DUMMYFUNCTION("IMPORTRANGE(""https://docs.google.com/spreadsheets/d/1eHaY18a8A9IcSdp1K8H6x8fbOy06t2VsZHhMHf-1x7Y/edit?usp=sharing"",""แผน!N20"")"),0)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IFERROR(__xludf.DUMMYFUNCTION("IMPORTRANGE(""https://docs.google.com/spreadsheets/d/1eHaY18a8A9IcSdp1K8H6x8fbOy06t2VsZHhMHf-1x7Y/edit?usp=sharing"",""แผน!O20"")"),0)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IFERROR(__xludf.DUMMYFUNCTION("IMPORTRANGE(""https://docs.google.com/spreadsheets/d/1eHaY18a8A9IcSdp1K8H6x8fbOy06t2VsZHhMHf-1x7Y/edit?usp=sharing"",""แผน!R20"")"),0)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IFERROR(__xludf.DUMMYFUNCTION("IMPORTRANGE(""https://docs.google.com/spreadsheets/d/1-uDff_7J0KD5mKrp0Vvzr7lt3OU09vwQwhkpOPPYv2Y/edit?usp=sharing"",""งบพรบ!BG20"")"),0)</f>
        <v>0</v>
      </c>
      <c r="M130" s="723">
        <f ca="1">IFERROR(__xludf.DUMMYFUNCTION("IMPORTRANGE(""https://docs.google.com/spreadsheets/d/1-uDff_7J0KD5mKrp0Vvzr7lt3OU09vwQwhkpOPPYv2Y/edit?usp=sharing"",""งบพรบ!BL20"")"),0)</f>
        <v>0</v>
      </c>
      <c r="N130" s="723">
        <f ca="1">IFERROR(__xludf.DUMMYFUNCTION("IMPORTRANGE(""https://docs.google.com/spreadsheets/d/1-uDff_7J0KD5mKrp0Vvzr7lt3OU09vwQwhkpOPPYv2Y/edit?usp=sharing"",""งบพรบ!BN20"")"),0)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IFERROR(__xludf.DUMMYFUNCTION("IMPORTRANGE(""https://docs.google.com/spreadsheets/d/1-uDff_7J0KD5mKrp0Vvzr7lt3OU09vwQwhkpOPPYv2Y/edit?usp=sharing"",""งบพรบ!BJ20"")"),0)</f>
        <v>0</v>
      </c>
      <c r="M133" s="723">
        <f ca="1">IFERROR(__xludf.DUMMYFUNCTION("IMPORTRANGE(""https://docs.google.com/spreadsheets/d/1-uDff_7J0KD5mKrp0Vvzr7lt3OU09vwQwhkpOPPYv2Y/edit?usp=sharing"",""งบพรบ!BM20"")"),0)</f>
        <v>0</v>
      </c>
      <c r="N133" s="723">
        <f ca="1">IFERROR(__xludf.DUMMYFUNCTION("IMPORTRANGE(""https://docs.google.com/spreadsheets/d/1-uDff_7J0KD5mKrp0Vvzr7lt3OU09vwQwhkpOPPYv2Y/edit?usp=sharing"",""งบพรบ!BO20"")"),0)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2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40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4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74800</v>
      </c>
      <c r="M139" s="577">
        <f ca="1">M140+M141</f>
        <v>69800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74800</v>
      </c>
      <c r="M141" s="425">
        <f ca="1">M144+M147</f>
        <v>69800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74800</v>
      </c>
      <c r="M142" s="425">
        <f ca="1">M143+M144</f>
        <v>69800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IFERROR(__xludf.DUMMYFUNCTION("IMPORTRANGE(""https://docs.google.com/spreadsheets/d/1-uDff_7J0KD5mKrp0Vvzr7lt3OU09vwQwhkpOPPYv2Y/edit?usp=sharing"",""งบพรบ!BQ20"")"),74800)</f>
        <v>74800</v>
      </c>
      <c r="M144" s="425">
        <f ca="1">IFERROR(__xludf.DUMMYFUNCTION("IMPORTRANGE(""https://docs.google.com/spreadsheets/d/1-uDff_7J0KD5mKrp0Vvzr7lt3OU09vwQwhkpOPPYv2Y/edit?usp=sharing"",""งบพรบ!BV20"")"),69800)</f>
        <v>69800</v>
      </c>
      <c r="N144" s="425">
        <f ca="1">IFERROR(__xludf.DUMMYFUNCTION("IMPORTRANGE(""https://docs.google.com/spreadsheets/d/1-uDff_7J0KD5mKrp0Vvzr7lt3OU09vwQwhkpOPPYv2Y/edit?usp=sharing"",""งบพรบ!BX20"")"),0)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IFERROR(__xludf.DUMMYFUNCTION("IMPORTRANGE(""https://docs.google.com/spreadsheets/d/1-uDff_7J0KD5mKrp0Vvzr7lt3OU09vwQwhkpOPPYv2Y/edit?usp=sharing"",""งบพรบ!BT20"")"),0)</f>
        <v>0</v>
      </c>
      <c r="M147" s="425">
        <f ca="1">IFERROR(__xludf.DUMMYFUNCTION("IMPORTRANGE(""https://docs.google.com/spreadsheets/d/1-uDff_7J0KD5mKrp0Vvzr7lt3OU09vwQwhkpOPPYv2Y/edit?usp=sharing"",""งบพรบ!BW20"")"),0)</f>
        <v>0</v>
      </c>
      <c r="N147" s="425">
        <f ca="1">IFERROR(__xludf.DUMMYFUNCTION("IMPORTRANGE(""https://docs.google.com/spreadsheets/d/1-uDff_7J0KD5mKrp0Vvzr7lt3OU09vwQwhkpOPPYv2Y/edit?usp=sharing"",""งบพรบ!BY20"")"),0)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IFERROR(__xludf.DUMMYFUNCTION("IMPORTRANGE(""https://docs.google.com/spreadsheets/d/1eHaY18a8A9IcSdp1K8H6x8fbOy06t2VsZHhMHf-1x7Y/edit?usp=sharing"",""แผน!U20"")"),20)</f>
        <v>20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IFERROR(__xludf.DUMMYFUNCTION("IMPORTRANGE(""https://docs.google.com/spreadsheets/d/1eHaY18a8A9IcSdp1K8H6x8fbOy06t2VsZHhMHf-1x7Y/edit?usp=sharing"",""แผน!V20"")"),2)</f>
        <v>2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IFERROR(__xludf.DUMMYFUNCTION("IMPORTRANGE(""https://docs.google.com/spreadsheets/d/1eHaY18a8A9IcSdp1K8H6x8fbOy06t2VsZHhMHf-1x7Y/edit?usp=sharing"",""แผน!W20"")"),40)</f>
        <v>40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IFERROR(__xludf.DUMMYFUNCTION("IMPORTRANGE(""https://docs.google.com/spreadsheets/d/1eHaY18a8A9IcSdp1K8H6x8fbOy06t2VsZHhMHf-1x7Y/edit?usp=sharing"",""แผน!X20"")"),4)</f>
        <v>4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IFERROR(__xludf.DUMMYFUNCTION("IMPORTRANGE(""https://docs.google.com/spreadsheets/d/1eHaY18a8A9IcSdp1K8H6x8fbOy06t2VsZHhMHf-1x7Y/edit?usp=sharing"",""แผน!Y20"")"),2)</f>
        <v>2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3000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IFERROR(__xludf.DUMMYFUNCTION("IMPORTRANGE(""https://docs.google.com/spreadsheets/d/1-uDff_7J0KD5mKrp0Vvzr7lt3OU09vwQwhkpOPPYv2Y/edit?usp=sharing"",""งบพรบ!CA20"")"),3000)</f>
        <v>3000</v>
      </c>
      <c r="M162" s="425">
        <f ca="1">IFERROR(__xludf.DUMMYFUNCTION("IMPORTRANGE(""https://docs.google.com/spreadsheets/d/1-uDff_7J0KD5mKrp0Vvzr7lt3OU09vwQwhkpOPPYv2Y/edit?usp=sharing"",""งบพรบ!CF20"")"),0)</f>
        <v>0</v>
      </c>
      <c r="N162" s="425">
        <f ca="1">IFERROR(__xludf.DUMMYFUNCTION("IMPORTRANGE(""https://docs.google.com/spreadsheets/d/1-uDff_7J0KD5mKrp0Vvzr7lt3OU09vwQwhkpOPPYv2Y/edit?usp=sharing"",""งบพรบ!CH20"")"),0)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IFERROR(__xludf.DUMMYFUNCTION("IMPORTRANGE(""https://docs.google.com/spreadsheets/d/1-uDff_7J0KD5mKrp0Vvzr7lt3OU09vwQwhkpOPPYv2Y/edit?usp=sharing"",""งบพรบ!CD20"")"),0)</f>
        <v>0</v>
      </c>
      <c r="M165" s="425">
        <f ca="1">IFERROR(__xludf.DUMMYFUNCTION("IMPORTRANGE(""https://docs.google.com/spreadsheets/d/1-uDff_7J0KD5mKrp0Vvzr7lt3OU09vwQwhkpOPPYv2Y/edit?usp=sharing"",""งบพรบ!CG20"")"),0)</f>
        <v>0</v>
      </c>
      <c r="N165" s="425">
        <f ca="1">IFERROR(__xludf.DUMMYFUNCTION("IMPORTRANGE(""https://docs.google.com/spreadsheets/d/1-uDff_7J0KD5mKrp0Vvzr7lt3OU09vwQwhkpOPPYv2Y/edit?usp=sharing"",""งบพรบ!CI20"")"),0)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IFERROR(__xludf.DUMMYFUNCTION("IMPORTRANGE(""https://docs.google.com/spreadsheets/d/1eHaY18a8A9IcSdp1K8H6x8fbOy06t2VsZHhMHf-1x7Y/edit?usp=sharing"",""แผน!Z20"")"),10)</f>
        <v>10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69590</v>
      </c>
      <c r="N173" s="577">
        <f ca="1">N174+N175</f>
        <v>17105</v>
      </c>
      <c r="O173" s="577">
        <f ca="1">IF(L173&gt;0,N173*100/L173,0)</f>
        <v>87.314956610515566</v>
      </c>
      <c r="P173" s="577">
        <f ca="1">IF(M173&gt;0,N173*100/M173,0)</f>
        <v>24.579680988647794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69590</v>
      </c>
      <c r="N175" s="425">
        <f ca="1">N178+N181</f>
        <v>17105</v>
      </c>
      <c r="O175" s="425">
        <f ca="1">IF(L175&gt;0,N175*100/L175,0)</f>
        <v>87.314956610515566</v>
      </c>
      <c r="P175" s="425">
        <f ca="1">IF(M175&gt;0,N175*100/M175,0)</f>
        <v>24.579680988647794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69590</v>
      </c>
      <c r="N176" s="425">
        <f ca="1">N177+N178</f>
        <v>17105</v>
      </c>
      <c r="O176" s="425">
        <f ca="1">IF(L176&gt;0,N176*100/L176,0)</f>
        <v>87.314956610515566</v>
      </c>
      <c r="P176" s="425">
        <f ca="1">IF(M176&gt;0,N176*100/M176,0)</f>
        <v>24.579680988647794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IFERROR(__xludf.DUMMYFUNCTION("IMPORTRANGE(""https://docs.google.com/spreadsheets/d/1-uDff_7J0KD5mKrp0Vvzr7lt3OU09vwQwhkpOPPYv2Y/edit?usp=sharing"",""งบพรบ!CK20"")"),19590)</f>
        <v>19590</v>
      </c>
      <c r="M178" s="425">
        <f ca="1">IFERROR(__xludf.DUMMYFUNCTION("IMPORTRANGE(""https://docs.google.com/spreadsheets/d/1-uDff_7J0KD5mKrp0Vvzr7lt3OU09vwQwhkpOPPYv2Y/edit?usp=sharing"",""งบพรบ!CP20"")"),69590)</f>
        <v>69590</v>
      </c>
      <c r="N178" s="425">
        <f ca="1">IFERROR(__xludf.DUMMYFUNCTION("IMPORTRANGE(""https://docs.google.com/spreadsheets/d/1-uDff_7J0KD5mKrp0Vvzr7lt3OU09vwQwhkpOPPYv2Y/edit?usp=sharing"",""งบพรบ!CR20"")"),17105)</f>
        <v>17105</v>
      </c>
      <c r="O178" s="425">
        <f ca="1">IF(L178&gt;0,N178*100/L178,0)</f>
        <v>87.314956610515566</v>
      </c>
      <c r="P178" s="425">
        <f ca="1">IF(M178&gt;0,N178*100/M178,0)</f>
        <v>24.579680988647794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IFERROR(__xludf.DUMMYFUNCTION("IMPORTRANGE(""https://docs.google.com/spreadsheets/d/1-uDff_7J0KD5mKrp0Vvzr7lt3OU09vwQwhkpOPPYv2Y/edit?usp=sharing"",""งบพรบ!CN20"")"),0)</f>
        <v>0</v>
      </c>
      <c r="M181" s="425">
        <f ca="1">IFERROR(__xludf.DUMMYFUNCTION("IMPORTRANGE(""https://docs.google.com/spreadsheets/d/1-uDff_7J0KD5mKrp0Vvzr7lt3OU09vwQwhkpOPPYv2Y/edit?usp=sharing"",""งบพรบ!CQ20"")"),0)</f>
        <v>0</v>
      </c>
      <c r="N181" s="425">
        <f ca="1">IFERROR(__xludf.DUMMYFUNCTION("IMPORTRANGE(""https://docs.google.com/spreadsheets/d/1-uDff_7J0KD5mKrp0Vvzr7lt3OU09vwQwhkpOPPYv2Y/edit?usp=sharing"",""งบพรบ!CS20"")"),0)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IFERROR(__xludf.DUMMYFUNCTION("IMPORTRANGE(""https://docs.google.com/spreadsheets/d/1eHaY18a8A9IcSdp1K8H6x8fbOy06t2VsZHhMHf-1x7Y/edit?usp=sharing"",""แผน!AA20"")"),7)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40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305900</v>
      </c>
      <c r="M186" s="577">
        <f ca="1">M187+M188</f>
        <v>265900</v>
      </c>
      <c r="N186" s="577">
        <f ca="1">N187+N188</f>
        <v>25132</v>
      </c>
      <c r="O186" s="577">
        <f ca="1">IF(L186&gt;0,N186*100/L186,0)</f>
        <v>8.2157567832625045</v>
      </c>
      <c r="P186" s="577">
        <f ca="1">IF(M186&gt;0,N186*100/M186,0)</f>
        <v>9.4516735614892813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305900</v>
      </c>
      <c r="M188" s="425">
        <f ca="1">M191+M194</f>
        <v>265900</v>
      </c>
      <c r="N188" s="425">
        <f ca="1">N191+N194</f>
        <v>25132</v>
      </c>
      <c r="O188" s="425">
        <f ca="1">IF(L188&gt;0,N188*100/L188,0)</f>
        <v>8.2157567832625045</v>
      </c>
      <c r="P188" s="425">
        <f ca="1">IF(M188&gt;0,N188*100/M188,0)</f>
        <v>9.4516735614892813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305900</v>
      </c>
      <c r="M189" s="425">
        <f ca="1">M190+M191</f>
        <v>265900</v>
      </c>
      <c r="N189" s="425">
        <f ca="1">N190+N191</f>
        <v>25132</v>
      </c>
      <c r="O189" s="425">
        <f ca="1">IF(L189&gt;0,N189*100/L189,0)</f>
        <v>8.2157567832625045</v>
      </c>
      <c r="P189" s="425">
        <f ca="1">IF(M189&gt;0,N189*100/M189,0)</f>
        <v>9.4516735614892813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IFERROR(__xludf.DUMMYFUNCTION("IMPORTRANGE(""https://docs.google.com/spreadsheets/d/1-uDff_7J0KD5mKrp0Vvzr7lt3OU09vwQwhkpOPPYv2Y/edit?usp=sharing"",""งบพรบ!CU20"")"),305900)</f>
        <v>305900</v>
      </c>
      <c r="M191" s="425">
        <f ca="1">IFERROR(__xludf.DUMMYFUNCTION("IMPORTRANGE(""https://docs.google.com/spreadsheets/d/1-uDff_7J0KD5mKrp0Vvzr7lt3OU09vwQwhkpOPPYv2Y/edit?usp=sharing"",""งบพรบ!CZ20"")"),265900)</f>
        <v>265900</v>
      </c>
      <c r="N191" s="425">
        <f ca="1">IFERROR(__xludf.DUMMYFUNCTION("IMPORTRANGE(""https://docs.google.com/spreadsheets/d/1-uDff_7J0KD5mKrp0Vvzr7lt3OU09vwQwhkpOPPYv2Y/edit?usp=sharing"",""งบพรบ!DB20"")"),25132)</f>
        <v>25132</v>
      </c>
      <c r="O191" s="425">
        <f ca="1">IF(L191&gt;0,N191*100/L191,0)</f>
        <v>8.2157567832625045</v>
      </c>
      <c r="P191" s="425">
        <f ca="1">IF(M191&gt;0,N191*100/M191,0)</f>
        <v>9.4516735614892813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IFERROR(__xludf.DUMMYFUNCTION("IMPORTRANGE(""https://docs.google.com/spreadsheets/d/1-uDff_7J0KD5mKrp0Vvzr7lt3OU09vwQwhkpOPPYv2Y/edit?usp=sharing"",""งบพรบ!CX20"")"),0)</f>
        <v>0</v>
      </c>
      <c r="M194" s="425">
        <f ca="1">IFERROR(__xludf.DUMMYFUNCTION("IMPORTRANGE(""https://docs.google.com/spreadsheets/d/1-uDff_7J0KD5mKrp0Vvzr7lt3OU09vwQwhkpOPPYv2Y/edit?usp=sharing"",""งบพรบ!DA20"")"),0)</f>
        <v>0</v>
      </c>
      <c r="N194" s="425">
        <f ca="1">IFERROR(__xludf.DUMMYFUNCTION("IMPORTRANGE(""https://docs.google.com/spreadsheets/d/1-uDff_7J0KD5mKrp0Vvzr7lt3OU09vwQwhkpOPPYv2Y/edit?usp=sharing"",""งบพรบ!DC20"")"),0)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IFERROR(__xludf.DUMMYFUNCTION("IMPORTRANGE(""https://docs.google.com/spreadsheets/d/1eHaY18a8A9IcSdp1K8H6x8fbOy06t2VsZHhMHf-1x7Y/edit?usp=sharing"",""แผน!AB20"")"),6000)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IFERROR(__xludf.DUMMYFUNCTION("IMPORTRANGE(""https://docs.google.com/spreadsheets/d/1eHaY18a8A9IcSdp1K8H6x8fbOy06t2VsZHhMHf-1x7Y/edit?usp=sharing"",""แผน!AE20"")"),4)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IFERROR(__xludf.DUMMYFUNCTION("IMPORTRANGE(""https://docs.google.com/spreadsheets/d/1eHaY18a8A9IcSdp1K8H6x8fbOy06t2VsZHhMHf-1x7Y/edit?usp=sharing"",""แผน!AG20"")"),2000)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IFERROR(__xludf.DUMMYFUNCTION("IMPORTRANGE(""https://docs.google.com/spreadsheets/d/1eHaY18a8A9IcSdp1K8H6x8fbOy06t2VsZHhMHf-1x7Y/edit?usp=sharing"",""แผน!AH20"")"),0)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IFERROR(__xludf.DUMMYFUNCTION("IMPORTRANGE(""https://docs.google.com/spreadsheets/d/1eHaY18a8A9IcSdp1K8H6x8fbOy06t2VsZHhMHf-1x7Y/edit?usp=sharing"",""แผน!AI20"")"),16000)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IFERROR(__xludf.DUMMYFUNCTION("IMPORTRANGE(""https://docs.google.com/spreadsheets/d/1eHaY18a8A9IcSdp1K8H6x8fbOy06t2VsZHhMHf-1x7Y/edit?usp=sharing"",""แผน!AJ20"")"),8000)</f>
        <v>8000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IFERROR(__xludf.DUMMYFUNCTION("IMPORTRANGE(""https://docs.google.com/spreadsheets/d/1eHaY18a8A9IcSdp1K8H6x8fbOy06t2VsZHhMHf-1x7Y/edit?usp=sharing"",""แผน!AK20"")"),2)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IFERROR(__xludf.DUMMYFUNCTION("IMPORTRANGE(""https://docs.google.com/spreadsheets/d/1eHaY18a8A9IcSdp1K8H6x8fbOy06t2VsZHhMHf-1x7Y/edit?usp=sharing"",""แผน!JX20"")"),2)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IFERROR(__xludf.DUMMYFUNCTION("IMPORTRANGE(""https://docs.google.com/spreadsheets/d/1eHaY18a8A9IcSdp1K8H6x8fbOy06t2VsZHhMHf-1x7Y/edit?usp=sharing"",""แผน!JY20"")"),0)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IFERROR(__xludf.DUMMYFUNCTION("IMPORTRANGE(""https://docs.google.com/spreadsheets/d/1eHaY18a8A9IcSdp1K8H6x8fbOy06t2VsZHhMHf-1x7Y/edit?usp=sharing"",""แผน!AM20"")"),0)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IFERROR(__xludf.DUMMYFUNCTION("IMPORTRANGE(""https://docs.google.com/spreadsheets/d/1eHaY18a8A9IcSdp1K8H6x8fbOy06t2VsZHhMHf-1x7Y/edit?usp=sharing"",""แผน!AN20"")"),0)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IFERROR(__xludf.DUMMYFUNCTION("IMPORTRANGE(""https://docs.google.com/spreadsheets/d/1eHaY18a8A9IcSdp1K8H6x8fbOy06t2VsZHhMHf-1x7Y/edit?usp=sharing"",""แผน!AO20"")"),0)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IFERROR(__xludf.DUMMYFUNCTION("IMPORTRANGE(""https://docs.google.com/spreadsheets/d/1eHaY18a8A9IcSdp1K8H6x8fbOy06t2VsZHhMHf-1x7Y/edit?usp=sharing"",""แผน!AP20"")"),0)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IFERROR(__xludf.DUMMYFUNCTION("IMPORTRANGE(""https://docs.google.com/spreadsheets/d/1eHaY18a8A9IcSdp1K8H6x8fbOy06t2VsZHhMHf-1x7Y/edit?usp=sharing"",""แผน!AP20"")"),0)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20000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4500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IFERROR(__xludf.DUMMYFUNCTION("IMPORTRANGE(""https://docs.google.com/spreadsheets/d/1eHaY18a8A9IcSdp1K8H6x8fbOy06t2VsZHhMHf-1x7Y/edit?usp=sharing"",""แผน!AR20"")"),3000)</f>
        <v>3000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IFERROR(__xludf.DUMMYFUNCTION("IMPORTRANGE(""https://docs.google.com/spreadsheets/d/1eHaY18a8A9IcSdp1K8H6x8fbOy06t2VsZHhMHf-1x7Y/edit?usp=sharing"",""แผน!AS20"")"),1500)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IFERROR(__xludf.DUMMYFUNCTION("IMPORTRANGE(""https://docs.google.com/spreadsheets/d/1eHaY18a8A9IcSdp1K8H6x8fbOy06t2VsZHhMHf-1x7Y/edit?usp=sharing"",""แผน!AT20"")"),0)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IFERROR(__xludf.DUMMYFUNCTION("IMPORTRANGE(""https://docs.google.com/spreadsheets/d/1eHaY18a8A9IcSdp1K8H6x8fbOy06t2VsZHhMHf-1x7Y/edit?usp=sharing"",""แผน!AV20"")"),20000)</f>
        <v>20000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IFERROR(__xludf.DUMMYFUNCTION("IMPORTRANGE(""https://docs.google.com/spreadsheets/d/1eHaY18a8A9IcSdp1K8H6x8fbOy06t2VsZHhMHf-1x7Y/edit?usp=sharing"",""แผน!AV20"")"),20000)</f>
        <v>20000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IFERROR(__xludf.DUMMYFUNCTION("IMPORTRANGE(""https://docs.google.com/spreadsheets/d/1eHaY18a8A9IcSdp1K8H6x8fbOy06t2VsZHhMHf-1x7Y/edit?usp=sharing"",""แผน!AU20"")"),0)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868"/>
      <c r="B231" s="867"/>
      <c r="C231" s="678" t="s">
        <v>99</v>
      </c>
      <c r="D231" s="866"/>
      <c r="E231" s="866"/>
      <c r="F231" s="866"/>
      <c r="G231" s="865"/>
      <c r="H231" s="677" t="s">
        <v>33</v>
      </c>
      <c r="I231" s="676">
        <f ca="1">I242+I253</f>
        <v>40</v>
      </c>
      <c r="J231" s="676">
        <f>J242+J253</f>
        <v>0</v>
      </c>
      <c r="K231" s="675">
        <f ca="1">IF(I231&gt;0,J231*100/I231,0)</f>
        <v>0</v>
      </c>
      <c r="L231" s="864"/>
      <c r="M231" s="864"/>
      <c r="N231" s="864"/>
      <c r="O231" s="864"/>
      <c r="P231" s="864"/>
    </row>
    <row r="232" spans="1:16" ht="19.5" hidden="1" x14ac:dyDescent="0.3">
      <c r="A232" s="863"/>
      <c r="B232" s="860"/>
      <c r="C232" s="531" t="s">
        <v>16</v>
      </c>
      <c r="D232" s="541" t="s">
        <v>17</v>
      </c>
      <c r="E232" s="860"/>
      <c r="F232" s="860"/>
      <c r="G232" s="859"/>
      <c r="H232" s="673" t="s">
        <v>12</v>
      </c>
      <c r="I232" s="856"/>
      <c r="J232" s="856"/>
      <c r="K232" s="855"/>
      <c r="L232" s="539">
        <f ca="1">L243+L254</f>
        <v>269400</v>
      </c>
      <c r="M232" s="850"/>
      <c r="N232" s="539">
        <f>N243+N254</f>
        <v>0</v>
      </c>
      <c r="O232" s="850"/>
      <c r="P232" s="850"/>
    </row>
    <row r="233" spans="1:16" ht="18.75" hidden="1" x14ac:dyDescent="0.25">
      <c r="A233" s="863"/>
      <c r="B233" s="861"/>
      <c r="C233" s="860"/>
      <c r="D233" s="292" t="s">
        <v>160</v>
      </c>
      <c r="E233" s="860"/>
      <c r="F233" s="860"/>
      <c r="G233" s="859"/>
      <c r="H233" s="536" t="s">
        <v>12</v>
      </c>
      <c r="I233" s="856"/>
      <c r="J233" s="856"/>
      <c r="K233" s="855"/>
      <c r="L233" s="521">
        <f ca="1">L244+L255</f>
        <v>99000</v>
      </c>
      <c r="M233" s="850"/>
      <c r="N233" s="521">
        <f>N244+N255</f>
        <v>0</v>
      </c>
      <c r="O233" s="850"/>
      <c r="P233" s="850"/>
    </row>
    <row r="234" spans="1:16" ht="18.75" hidden="1" x14ac:dyDescent="0.25">
      <c r="A234" s="862"/>
      <c r="B234" s="861"/>
      <c r="C234" s="861"/>
      <c r="D234" s="293" t="s">
        <v>81</v>
      </c>
      <c r="E234" s="860"/>
      <c r="F234" s="860"/>
      <c r="G234" s="859"/>
      <c r="H234" s="536" t="s">
        <v>12</v>
      </c>
      <c r="I234" s="197"/>
      <c r="J234" s="197"/>
      <c r="K234" s="850"/>
      <c r="L234" s="521">
        <f ca="1">L245+L256</f>
        <v>3000</v>
      </c>
      <c r="M234" s="850"/>
      <c r="N234" s="521">
        <f>N245+N256</f>
        <v>0</v>
      </c>
      <c r="O234" s="850"/>
      <c r="P234" s="850"/>
    </row>
    <row r="235" spans="1:16" ht="18.75" hidden="1" x14ac:dyDescent="0.25">
      <c r="A235" s="862"/>
      <c r="B235" s="861"/>
      <c r="C235" s="861"/>
      <c r="D235" s="293" t="s">
        <v>82</v>
      </c>
      <c r="E235" s="860"/>
      <c r="F235" s="860"/>
      <c r="G235" s="859"/>
      <c r="H235" s="536" t="s">
        <v>12</v>
      </c>
      <c r="I235" s="197"/>
      <c r="J235" s="197"/>
      <c r="K235" s="850"/>
      <c r="L235" s="521">
        <f ca="1">L246+L257</f>
        <v>114400</v>
      </c>
      <c r="M235" s="850"/>
      <c r="N235" s="521">
        <f>N246+N257</f>
        <v>0</v>
      </c>
      <c r="O235" s="850"/>
      <c r="P235" s="850"/>
    </row>
    <row r="236" spans="1:16" ht="18.75" hidden="1" x14ac:dyDescent="0.25">
      <c r="A236" s="862"/>
      <c r="B236" s="861"/>
      <c r="C236" s="861"/>
      <c r="D236" s="293" t="s">
        <v>83</v>
      </c>
      <c r="E236" s="860"/>
      <c r="F236" s="860"/>
      <c r="G236" s="859"/>
      <c r="H236" s="536" t="s">
        <v>12</v>
      </c>
      <c r="I236" s="197"/>
      <c r="J236" s="197"/>
      <c r="K236" s="850"/>
      <c r="L236" s="521">
        <f ca="1">L247+L258</f>
        <v>53000</v>
      </c>
      <c r="M236" s="850"/>
      <c r="N236" s="521">
        <f>N247+N258</f>
        <v>0</v>
      </c>
      <c r="O236" s="850"/>
      <c r="P236" s="850"/>
    </row>
    <row r="237" spans="1:16" ht="19.5" hidden="1" x14ac:dyDescent="0.3">
      <c r="A237" s="854"/>
      <c r="B237" s="853"/>
      <c r="C237" s="671" t="s">
        <v>16</v>
      </c>
      <c r="D237" s="530" t="s">
        <v>36</v>
      </c>
      <c r="E237" s="858"/>
      <c r="F237" s="858"/>
      <c r="G237" s="857"/>
      <c r="H237" s="851"/>
      <c r="I237" s="856"/>
      <c r="J237" s="197"/>
      <c r="K237" s="850"/>
      <c r="L237" s="850"/>
      <c r="M237" s="850"/>
      <c r="N237" s="850"/>
      <c r="O237" s="855"/>
      <c r="P237" s="855"/>
    </row>
    <row r="238" spans="1:16" ht="18.75" hidden="1" x14ac:dyDescent="0.25">
      <c r="A238" s="854"/>
      <c r="B238" s="853"/>
      <c r="C238" s="853"/>
      <c r="D238" s="524" t="s">
        <v>102</v>
      </c>
      <c r="E238" s="852"/>
      <c r="F238" s="852"/>
      <c r="G238" s="851"/>
      <c r="H238" s="668" t="s">
        <v>33</v>
      </c>
      <c r="I238" s="199">
        <f ca="1">I249+I260</f>
        <v>40</v>
      </c>
      <c r="J238" s="199">
        <f>J249+J260</f>
        <v>0</v>
      </c>
      <c r="K238" s="521">
        <f ca="1">IF(I238&gt;0,J238*100/I238,0)</f>
        <v>0</v>
      </c>
      <c r="L238" s="850"/>
      <c r="M238" s="850"/>
      <c r="N238" s="850"/>
      <c r="O238" s="850"/>
      <c r="P238" s="850"/>
    </row>
    <row r="239" spans="1:16" ht="18.75" hidden="1" x14ac:dyDescent="0.25">
      <c r="A239" s="854"/>
      <c r="B239" s="853"/>
      <c r="C239" s="853"/>
      <c r="D239" s="670" t="s">
        <v>41</v>
      </c>
      <c r="E239" s="852"/>
      <c r="F239" s="852"/>
      <c r="G239" s="851"/>
      <c r="H239" s="851"/>
      <c r="I239" s="197"/>
      <c r="J239" s="197"/>
      <c r="K239" s="850"/>
      <c r="L239" s="850"/>
      <c r="M239" s="850"/>
      <c r="N239" s="850"/>
      <c r="O239" s="855"/>
      <c r="P239" s="855"/>
    </row>
    <row r="240" spans="1:16" ht="18.75" hidden="1" x14ac:dyDescent="0.25">
      <c r="A240" s="854"/>
      <c r="B240" s="853"/>
      <c r="C240" s="853"/>
      <c r="D240" s="853"/>
      <c r="E240" s="669" t="s">
        <v>103</v>
      </c>
      <c r="F240" s="852"/>
      <c r="G240" s="851"/>
      <c r="H240" s="668" t="s">
        <v>33</v>
      </c>
      <c r="I240" s="199">
        <f ca="1">I251+I262</f>
        <v>40</v>
      </c>
      <c r="J240" s="199">
        <f>J251+J262</f>
        <v>0</v>
      </c>
      <c r="K240" s="521">
        <f ca="1">IF(I240&gt;0,J240*100/I240,0)</f>
        <v>0</v>
      </c>
      <c r="L240" s="850"/>
      <c r="M240" s="850"/>
      <c r="N240" s="850"/>
      <c r="O240" s="850"/>
      <c r="P240" s="850"/>
    </row>
    <row r="241" spans="1:16" ht="18.75" hidden="1" x14ac:dyDescent="0.25">
      <c r="A241" s="854"/>
      <c r="B241" s="853"/>
      <c r="C241" s="853"/>
      <c r="D241" s="853"/>
      <c r="E241" s="669" t="s">
        <v>104</v>
      </c>
      <c r="F241" s="852"/>
      <c r="G241" s="851"/>
      <c r="H241" s="668" t="s">
        <v>54</v>
      </c>
      <c r="I241" s="199">
        <f ca="1">I252+I263</f>
        <v>1</v>
      </c>
      <c r="J241" s="199">
        <f>J252+J263</f>
        <v>0</v>
      </c>
      <c r="K241" s="521">
        <f ca="1">IF(I241&gt;0,J241*100/I241,0)</f>
        <v>0</v>
      </c>
      <c r="L241" s="850"/>
      <c r="M241" s="850"/>
      <c r="N241" s="850"/>
      <c r="O241" s="850"/>
      <c r="P241" s="850"/>
    </row>
    <row r="242" spans="1:16" ht="19.5" x14ac:dyDescent="0.3">
      <c r="A242" s="279"/>
      <c r="B242" s="280"/>
      <c r="C242" s="281" t="s">
        <v>170</v>
      </c>
      <c r="D242" s="282"/>
      <c r="E242" s="282"/>
      <c r="F242" s="282"/>
      <c r="G242" s="283"/>
      <c r="H242" s="284" t="s">
        <v>33</v>
      </c>
      <c r="I242" s="285">
        <f ca="1">I249</f>
        <v>40</v>
      </c>
      <c r="J242" s="285">
        <f>J249</f>
        <v>0</v>
      </c>
      <c r="K242" s="286">
        <f ca="1">IF(I242&gt;0,J242*100/I242,0)</f>
        <v>0</v>
      </c>
      <c r="L242" s="287"/>
      <c r="M242" s="287"/>
      <c r="N242" s="287"/>
      <c r="O242" s="287"/>
      <c r="P242" s="287"/>
    </row>
    <row r="243" spans="1:16" ht="19.5" x14ac:dyDescent="0.3">
      <c r="A243" s="157"/>
      <c r="B243" s="53"/>
      <c r="C243" s="158" t="s">
        <v>16</v>
      </c>
      <c r="D243" s="849" t="s">
        <v>17</v>
      </c>
      <c r="E243" s="53"/>
      <c r="F243" s="53"/>
      <c r="G243" s="55"/>
      <c r="H243" s="289" t="s">
        <v>12</v>
      </c>
      <c r="I243" s="164"/>
      <c r="J243" s="164"/>
      <c r="K243" s="165"/>
      <c r="L243" s="161">
        <f ca="1">L244+L245+L246+L247</f>
        <v>269400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78"/>
      <c r="C244" s="53"/>
      <c r="D244" s="292" t="s">
        <v>160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IFERROR(__xludf.DUMMYFUNCTION("IMPORTRANGE(""https://docs.google.com/spreadsheets/d/1eHaY18a8A9IcSdp1K8H6x8fbOy06t2VsZHhMHf-1x7Y/edit?usp=sharing"",""แผน!AX20"")"),99000)</f>
        <v>99000</v>
      </c>
      <c r="M244" s="58"/>
      <c r="N244" s="848">
        <v>0</v>
      </c>
      <c r="O244" s="58"/>
      <c r="P244" s="58"/>
    </row>
    <row r="245" spans="1:16" ht="18.75" x14ac:dyDescent="0.25">
      <c r="A245" s="274"/>
      <c r="B245" s="278"/>
      <c r="C245" s="278"/>
      <c r="D245" s="293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IFERROR(__xludf.DUMMYFUNCTION("IMPORTRANGE(""https://docs.google.com/spreadsheets/d/1eHaY18a8A9IcSdp1K8H6x8fbOy06t2VsZHhMHf-1x7Y/edit?usp=sharing"",""แผน!AY20"")"),3000)</f>
        <v>3000</v>
      </c>
      <c r="M245" s="58"/>
      <c r="N245" s="848">
        <v>0</v>
      </c>
      <c r="O245" s="58"/>
      <c r="P245" s="58"/>
    </row>
    <row r="246" spans="1:16" ht="18.75" x14ac:dyDescent="0.25">
      <c r="A246" s="274"/>
      <c r="B246" s="278"/>
      <c r="C246" s="278"/>
      <c r="D246" s="293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IFERROR(__xludf.DUMMYFUNCTION("IMPORTRANGE(""https://docs.google.com/spreadsheets/d/1eHaY18a8A9IcSdp1K8H6x8fbOy06t2VsZHhMHf-1x7Y/edit?usp=sharing"",""แผน!AZ20"")"),114400)</f>
        <v>114400</v>
      </c>
      <c r="M246" s="58"/>
      <c r="N246" s="848">
        <v>0</v>
      </c>
      <c r="O246" s="58"/>
      <c r="P246" s="58"/>
    </row>
    <row r="247" spans="1:16" ht="18.75" x14ac:dyDescent="0.25">
      <c r="A247" s="274"/>
      <c r="B247" s="278"/>
      <c r="C247" s="278"/>
      <c r="D247" s="293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IFERROR(__xludf.DUMMYFUNCTION("IMPORTRANGE(""https://docs.google.com/spreadsheets/d/1eHaY18a8A9IcSdp1K8H6x8fbOy06t2VsZHhMHf-1x7Y/edit?usp=sharing"",""แผน!BA20"")"),53000)</f>
        <v>53000</v>
      </c>
      <c r="M247" s="58"/>
      <c r="N247" s="848">
        <v>0</v>
      </c>
      <c r="O247" s="58"/>
      <c r="P247" s="58"/>
    </row>
    <row r="248" spans="1:16" ht="19.5" x14ac:dyDescent="0.3">
      <c r="A248" s="167"/>
      <c r="B248" s="168"/>
      <c r="C248" s="296" t="s">
        <v>16</v>
      </c>
      <c r="D248" s="847" t="s">
        <v>36</v>
      </c>
      <c r="E248" s="170"/>
      <c r="F248" s="170"/>
      <c r="G248" s="171"/>
      <c r="H248" s="172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3" t="s">
        <v>102</v>
      </c>
      <c r="E249" s="174"/>
      <c r="F249" s="174"/>
      <c r="G249" s="172"/>
      <c r="H249" s="295" t="s">
        <v>33</v>
      </c>
      <c r="I249" s="194">
        <f ca="1">IFERROR(__xludf.DUMMYFUNCTION("IMPORTRANGE(""https://docs.google.com/spreadsheets/d/1eHaY18a8A9IcSdp1K8H6x8fbOy06t2VsZHhMHf-1x7Y/edit?usp=sharing"",""แผน!BG20"")"),40)</f>
        <v>40</v>
      </c>
      <c r="J249" s="846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6" t="s">
        <v>41</v>
      </c>
      <c r="E250" s="174"/>
      <c r="F250" s="174"/>
      <c r="G250" s="172"/>
      <c r="H250" s="172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7" t="s">
        <v>103</v>
      </c>
      <c r="F251" s="174"/>
      <c r="G251" s="172"/>
      <c r="H251" s="295" t="s">
        <v>33</v>
      </c>
      <c r="I251" s="194">
        <f ca="1">IFERROR(__xludf.DUMMYFUNCTION("IMPORTRANGE(""https://docs.google.com/spreadsheets/d/1eHaY18a8A9IcSdp1K8H6x8fbOy06t2VsZHhMHf-1x7Y/edit?usp=sharing"",""แผน!KP20"")"),40)</f>
        <v>40</v>
      </c>
      <c r="J251" s="846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7" t="s">
        <v>104</v>
      </c>
      <c r="F252" s="174"/>
      <c r="G252" s="172"/>
      <c r="H252" s="295" t="s">
        <v>169</v>
      </c>
      <c r="I252" s="194">
        <f ca="1">IFERROR(__xludf.DUMMYFUNCTION("IMPORTRANGE(""https://docs.google.com/spreadsheets/d/1eHaY18a8A9IcSdp1K8H6x8fbOy06t2VsZHhMHf-1x7Y/edit?usp=sharing"",""แผน!KQ20"")"),1)</f>
        <v>1</v>
      </c>
      <c r="J252" s="846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292" t="s">
        <v>160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IFERROR(__xludf.DUMMYFUNCTION("IMPORTRANGE(""https://docs.google.com/spreadsheets/d/1eHaY18a8A9IcSdp1K8H6x8fbOy06t2VsZHhMHf-1x7Y/edit?usp=sharing"",""แผน!BB20"")"),0)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293" t="s">
        <v>81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IFERROR(__xludf.DUMMYFUNCTION("IMPORTRANGE(""https://docs.google.com/spreadsheets/d/1eHaY18a8A9IcSdp1K8H6x8fbOy06t2VsZHhMHf-1x7Y/edit?usp=sharing"",""แผน!BC20"")"),0)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293" t="s">
        <v>82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IFERROR(__xludf.DUMMYFUNCTION("IMPORTRANGE(""https://docs.google.com/spreadsheets/d/1eHaY18a8A9IcSdp1K8H6x8fbOy06t2VsZHhMHf-1x7Y/edit?usp=sharing"",""แผน!BD20"")"),0)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293" t="s">
        <v>83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IFERROR(__xludf.DUMMYFUNCTION("IMPORTRANGE(""https://docs.google.com/spreadsheets/d/1eHaY18a8A9IcSdp1K8H6x8fbOy06t2VsZHhMHf-1x7Y/edit?usp=sharing"",""แผน!BE20"")"),0)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IFERROR(__xludf.DUMMYFUNCTION("IMPORTRANGE(""https://docs.google.com/spreadsheets/d/1eHaY18a8A9IcSdp1K8H6x8fbOy06t2VsZHhMHf-1x7Y/edit?usp=sharing"",""แผน!BH20"")"),0)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IFERROR(__xludf.DUMMYFUNCTION("IMPORTRANGE(""https://docs.google.com/spreadsheets/d/1-uDff_7J0KD5mKrp0Vvzr7lt3OU09vwQwhkpOPPYv2Y/edit?usp=sharing"",""งบพรบ!DE20"")"),0)</f>
        <v>0</v>
      </c>
      <c r="M271" s="521">
        <f ca="1">IFERROR(__xludf.DUMMYFUNCTION("IMPORTRANGE(""https://docs.google.com/spreadsheets/d/1-uDff_7J0KD5mKrp0Vvzr7lt3OU09vwQwhkpOPPYv2Y/edit?usp=sharing"",""งบพรบ!DJ20"")"),0)</f>
        <v>0</v>
      </c>
      <c r="N271" s="521">
        <f ca="1">IFERROR(__xludf.DUMMYFUNCTION("IMPORTRANGE(""https://docs.google.com/spreadsheets/d/1-uDff_7J0KD5mKrp0Vvzr7lt3OU09vwQwhkpOPPYv2Y/edit?usp=sharing"",""งบพรบ!DL20"")"),0)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IFERROR(__xludf.DUMMYFUNCTION("IMPORTRANGE(""https://docs.google.com/spreadsheets/d/1-uDff_7J0KD5mKrp0Vvzr7lt3OU09vwQwhkpOPPYv2Y/edit?usp=sharing"",""งบพรบ!DH20"")"),0)</f>
        <v>0</v>
      </c>
      <c r="M274" s="521">
        <f ca="1">IFERROR(__xludf.DUMMYFUNCTION("IMPORTRANGE(""https://docs.google.com/spreadsheets/d/1-uDff_7J0KD5mKrp0Vvzr7lt3OU09vwQwhkpOPPYv2Y/edit?usp=sharing"",""งบพรบ!DK20"")"),0)</f>
        <v>0</v>
      </c>
      <c r="N274" s="521">
        <f ca="1">IFERROR(__xludf.DUMMYFUNCTION("IMPORTRANGE(""https://docs.google.com/spreadsheets/d/1-uDff_7J0KD5mKrp0Vvzr7lt3OU09vwQwhkpOPPYv2Y/edit?usp=sharing"",""งบพรบ!DM20"")"),0)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10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100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56120</v>
      </c>
      <c r="M282" s="577">
        <f ca="1">M283+M284</f>
        <v>44480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56120</v>
      </c>
      <c r="M284" s="425">
        <f ca="1">M287+M290</f>
        <v>44480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56120</v>
      </c>
      <c r="M285" s="425">
        <f ca="1">M286+M287</f>
        <v>44480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IFERROR(__xludf.DUMMYFUNCTION("IMPORTRANGE(""https://docs.google.com/spreadsheets/d/1-uDff_7J0KD5mKrp0Vvzr7lt3OU09vwQwhkpOPPYv2Y/edit?usp=sharing"",""งบพรบ!DO20"")"),56120)</f>
        <v>56120</v>
      </c>
      <c r="M287" s="425">
        <f ca="1">IFERROR(__xludf.DUMMYFUNCTION("IMPORTRANGE(""https://docs.google.com/spreadsheets/d/1-uDff_7J0KD5mKrp0Vvzr7lt3OU09vwQwhkpOPPYv2Y/edit?usp=sharing"",""งบพรบ!DT20"")"),44480)</f>
        <v>44480</v>
      </c>
      <c r="N287" s="425">
        <f ca="1">IFERROR(__xludf.DUMMYFUNCTION("IMPORTRANGE(""https://docs.google.com/spreadsheets/d/1-uDff_7J0KD5mKrp0Vvzr7lt3OU09vwQwhkpOPPYv2Y/edit?usp=sharing"",""งบพรบ!DV20"")"),0)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IFERROR(__xludf.DUMMYFUNCTION("IMPORTRANGE(""https://docs.google.com/spreadsheets/d/1-uDff_7J0KD5mKrp0Vvzr7lt3OU09vwQwhkpOPPYv2Y/edit?usp=sharing"",""งบพรบ!DR20"")"),0)</f>
        <v>0</v>
      </c>
      <c r="M290" s="425">
        <f ca="1">IFERROR(__xludf.DUMMYFUNCTION("IMPORTRANGE(""https://docs.google.com/spreadsheets/d/1-uDff_7J0KD5mKrp0Vvzr7lt3OU09vwQwhkpOPPYv2Y/edit?usp=sharing"",""งบพรบ!DU20"")"),0)</f>
        <v>0</v>
      </c>
      <c r="N290" s="425">
        <f ca="1">IFERROR(__xludf.DUMMYFUNCTION("IMPORTRANGE(""https://docs.google.com/spreadsheets/d/1-uDff_7J0KD5mKrp0Vvzr7lt3OU09vwQwhkpOPPYv2Y/edit?usp=sharing"",""งบพรบ!DW20"")"),0)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IFERROR(__xludf.DUMMYFUNCTION("IMPORTRANGE(""https://docs.google.com/spreadsheets/d/1eHaY18a8A9IcSdp1K8H6x8fbOy06t2VsZHhMHf-1x7Y/edit?usp=sharing"",""แผน!EE20"")"),100)</f>
        <v>100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IFERROR(__xludf.DUMMYFUNCTION("IMPORTRANGE(""https://docs.google.com/spreadsheets/d/1eHaY18a8A9IcSdp1K8H6x8fbOy06t2VsZHhMHf-1x7Y/edit?usp=sharing"",""แผน!ED20"")"),10)</f>
        <v>10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IFERROR(__xludf.DUMMYFUNCTION("IMPORTRANGE(""https://docs.google.com/spreadsheets/d/1eHaY18a8A9IcSdp1K8H6x8fbOy06t2VsZHhMHf-1x7Y/edit?usp=sharing"",""แผน!ED20"")"),10)</f>
        <v>10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IFERROR(__xludf.DUMMYFUNCTION("IMPORTRANGE(""https://docs.google.com/spreadsheets/d/1eHaY18a8A9IcSdp1K8H6x8fbOy06t2VsZHhMHf-1x7Y/edit?usp=sharing"",""แผน!ED20"")"),10)</f>
        <v>10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133500</v>
      </c>
      <c r="M303" s="577">
        <f ca="1">M304+M305</f>
        <v>100900</v>
      </c>
      <c r="N303" s="577">
        <f ca="1">N304+N305</f>
        <v>14600</v>
      </c>
      <c r="O303" s="577">
        <f ca="1">IF(L303&gt;0,N303*100/L303,0)</f>
        <v>10.936329588014981</v>
      </c>
      <c r="P303" s="577">
        <f ca="1">IF(M303&gt;0,N303*100/M303,0)</f>
        <v>14.469772051536175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133500</v>
      </c>
      <c r="M305" s="425">
        <f ca="1">M308+M311</f>
        <v>100900</v>
      </c>
      <c r="N305" s="425">
        <f ca="1">N308+N311</f>
        <v>14600</v>
      </c>
      <c r="O305" s="425">
        <f ca="1">IF(L305&gt;0,N305*100/L305,0)</f>
        <v>10.936329588014981</v>
      </c>
      <c r="P305" s="425">
        <f ca="1">IF(M305&gt;0,N305*100/M305,0)</f>
        <v>14.469772051536175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133500</v>
      </c>
      <c r="M306" s="425">
        <f ca="1">M307+M308</f>
        <v>100900</v>
      </c>
      <c r="N306" s="425">
        <f ca="1">N307+N308</f>
        <v>14600</v>
      </c>
      <c r="O306" s="425">
        <f ca="1">IF(L306&gt;0,N306*100/L306,0)</f>
        <v>10.936329588014981</v>
      </c>
      <c r="P306" s="425">
        <f ca="1">IF(M306&gt;0,N306*100/M306,0)</f>
        <v>14.469772051536175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IFERROR(__xludf.DUMMYFUNCTION("IMPORTRANGE(""https://docs.google.com/spreadsheets/d/1-uDff_7J0KD5mKrp0Vvzr7lt3OU09vwQwhkpOPPYv2Y/edit?usp=sharing"",""งบพรบ!DY20"")"),133500)</f>
        <v>133500</v>
      </c>
      <c r="M308" s="425">
        <f ca="1">IFERROR(__xludf.DUMMYFUNCTION("IMPORTRANGE(""https://docs.google.com/spreadsheets/d/1-uDff_7J0KD5mKrp0Vvzr7lt3OU09vwQwhkpOPPYv2Y/edit?usp=sharing"",""งบพรบ!ED20"")"),100900)</f>
        <v>100900</v>
      </c>
      <c r="N308" s="425">
        <f ca="1">IFERROR(__xludf.DUMMYFUNCTION("IMPORTRANGE(""https://docs.google.com/spreadsheets/d/1-uDff_7J0KD5mKrp0Vvzr7lt3OU09vwQwhkpOPPYv2Y/edit?usp=sharing"",""งบพรบ!EF20"")"),14600)</f>
        <v>14600</v>
      </c>
      <c r="O308" s="425">
        <f ca="1">IF(L308&gt;0,N308*100/L308,0)</f>
        <v>10.936329588014981</v>
      </c>
      <c r="P308" s="425">
        <f ca="1">IF(M308&gt;0,N308*100/M308,0)</f>
        <v>14.469772051536175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IFERROR(__xludf.DUMMYFUNCTION("IMPORTRANGE(""https://docs.google.com/spreadsheets/d/1-uDff_7J0KD5mKrp0Vvzr7lt3OU09vwQwhkpOPPYv2Y/edit?usp=sharing"",""งบพรบ!EB20"")"),0)</f>
        <v>0</v>
      </c>
      <c r="M311" s="425">
        <f ca="1">IFERROR(__xludf.DUMMYFUNCTION("IMPORTRANGE(""https://docs.google.com/spreadsheets/d/1-uDff_7J0KD5mKrp0Vvzr7lt3OU09vwQwhkpOPPYv2Y/edit?usp=sharing"",""งบพรบ!EE20"")"),0)</f>
        <v>0</v>
      </c>
      <c r="N311" s="425">
        <f ca="1">IFERROR(__xludf.DUMMYFUNCTION("IMPORTRANGE(""https://docs.google.com/spreadsheets/d/1-uDff_7J0KD5mKrp0Vvzr7lt3OU09vwQwhkpOPPYv2Y/edit?usp=sharing"",""งบพรบ!EG20"")"),0)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IFERROR(__xludf.DUMMYFUNCTION("IMPORTRANGE(""https://docs.google.com/spreadsheets/d/1eHaY18a8A9IcSdp1K8H6x8fbOy06t2VsZHhMHf-1x7Y/edit?usp=sharing"",""แผน!EF20"")"),20)</f>
        <v>20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IFERROR(__xludf.DUMMYFUNCTION("IMPORTRANGE(""https://docs.google.com/spreadsheets/d/1eHaY18a8A9IcSdp1K8H6x8fbOy06t2VsZHhMHf-1x7Y/edit?usp=sharing"",""แผน!EG20"")"),4)</f>
        <v>4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IFERROR(__xludf.DUMMYFUNCTION("IMPORTRANGE(""https://docs.google.com/spreadsheets/d/1eHaY18a8A9IcSdp1K8H6x8fbOy06t2VsZHhMHf-1x7Y/edit?usp=sharing"",""แผน!EH20"")"),20)</f>
        <v>20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IFERROR(__xludf.DUMMYFUNCTION("IMPORTRANGE(""https://docs.google.com/spreadsheets/d/1eHaY18a8A9IcSdp1K8H6x8fbOy06t2VsZHhMHf-1x7Y/edit?usp=sharing"",""แผน!EI20"")"),4)</f>
        <v>4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IFERROR(__xludf.DUMMYFUNCTION("IMPORTRANGE(""https://docs.google.com/spreadsheets/d/1-uDff_7J0KD5mKrp0Vvzr7lt3OU09vwQwhkpOPPYv2Y/edit?usp=sharing"",""งบพรบ!EI20"")"),0)</f>
        <v>0</v>
      </c>
      <c r="M325" s="425">
        <f ca="1">IFERROR(__xludf.DUMMYFUNCTION("IMPORTRANGE(""https://docs.google.com/spreadsheets/d/1-uDff_7J0KD5mKrp0Vvzr7lt3OU09vwQwhkpOPPYv2Y/edit?usp=sharing"",""งบพรบ!EN20"")"),0)</f>
        <v>0</v>
      </c>
      <c r="N325" s="425">
        <f ca="1">IFERROR(__xludf.DUMMYFUNCTION("IMPORTRANGE(""https://docs.google.com/spreadsheets/d/1-uDff_7J0KD5mKrp0Vvzr7lt3OU09vwQwhkpOPPYv2Y/edit?usp=sharing"",""งบพรบ!EP20"")"),0)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IFERROR(__xludf.DUMMYFUNCTION("IMPORTRANGE(""https://docs.google.com/spreadsheets/d/1-uDff_7J0KD5mKrp0Vvzr7lt3OU09vwQwhkpOPPYv2Y/edit?usp=sharing"",""งบพรบ!EL20"")"),0)</f>
        <v>0</v>
      </c>
      <c r="M328" s="425">
        <f ca="1">IFERROR(__xludf.DUMMYFUNCTION("IMPORTRANGE(""https://docs.google.com/spreadsheets/d/1-uDff_7J0KD5mKrp0Vvzr7lt3OU09vwQwhkpOPPYv2Y/edit?usp=sharing"",""งบพรบ!EO20"")"),0)</f>
        <v>0</v>
      </c>
      <c r="N328" s="425">
        <f ca="1">IFERROR(__xludf.DUMMYFUNCTION("IMPORTRANGE(""https://docs.google.com/spreadsheets/d/1-uDff_7J0KD5mKrp0Vvzr7lt3OU09vwQwhkpOPPYv2Y/edit?usp=sharing"",""งบพรบ!EQ20"")"),0)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IFERROR(__xludf.DUMMYFUNCTION("IMPORTRANGE(""https://docs.google.com/spreadsheets/d/1eHaY18a8A9IcSdp1K8H6x8fbOy06t2VsZHhMHf-1x7Y/edit?usp=sharing"",""แผน!EJ20"")"),0)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1060</v>
      </c>
      <c r="J332" s="402">
        <f ca="1">J344+J347+J348+J349+J353</f>
        <v>5522</v>
      </c>
      <c r="K332" s="403">
        <f ca="1">IF(I332&gt;0,J332*100/I332,0)</f>
        <v>520.94339622641508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106000</v>
      </c>
      <c r="M333" s="577">
        <f ca="1">M334+M335</f>
        <v>85750</v>
      </c>
      <c r="N333" s="577">
        <f ca="1">N334+N335</f>
        <v>18752</v>
      </c>
      <c r="O333" s="577">
        <f ca="1">IF(L333&gt;0,N333*100/L333,0)</f>
        <v>17.690566037735849</v>
      </c>
      <c r="P333" s="577">
        <f ca="1">IF(M333&gt;0,N333*100/M333,0)</f>
        <v>21.868221574344023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106000</v>
      </c>
      <c r="M335" s="425">
        <f ca="1">M338+M341</f>
        <v>85750</v>
      </c>
      <c r="N335" s="425">
        <f ca="1">N338+N341</f>
        <v>18752</v>
      </c>
      <c r="O335" s="425">
        <f ca="1">IF(L335&gt;0,N335*100/L335,0)</f>
        <v>17.690566037735849</v>
      </c>
      <c r="P335" s="425">
        <f ca="1">IF(M335&gt;0,N335*100/M335,0)</f>
        <v>21.868221574344023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106000</v>
      </c>
      <c r="M336" s="425">
        <f ca="1">M337+M338</f>
        <v>85750</v>
      </c>
      <c r="N336" s="425">
        <f ca="1">N337+N338</f>
        <v>18752</v>
      </c>
      <c r="O336" s="425">
        <f ca="1">IF(L336&gt;0,N336*100/L336,0)</f>
        <v>17.690566037735849</v>
      </c>
      <c r="P336" s="425">
        <f ca="1">IF(M336&gt;0,N336*100/M336,0)</f>
        <v>21.868221574344023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IFERROR(__xludf.DUMMYFUNCTION("IMPORTRANGE(""https://docs.google.com/spreadsheets/d/1-uDff_7J0KD5mKrp0Vvzr7lt3OU09vwQwhkpOPPYv2Y/edit?usp=sharing"",""งบพรบ!ES20"")"),106000)</f>
        <v>106000</v>
      </c>
      <c r="M338" s="425">
        <f ca="1">IFERROR(__xludf.DUMMYFUNCTION("IMPORTRANGE(""https://docs.google.com/spreadsheets/d/1-uDff_7J0KD5mKrp0Vvzr7lt3OU09vwQwhkpOPPYv2Y/edit?usp=sharing"",""งบพรบ!EX20"")"),85750)</f>
        <v>85750</v>
      </c>
      <c r="N338" s="425">
        <f ca="1">IFERROR(__xludf.DUMMYFUNCTION("IMPORTRANGE(""https://docs.google.com/spreadsheets/d/1-uDff_7J0KD5mKrp0Vvzr7lt3OU09vwQwhkpOPPYv2Y/edit?usp=sharing"",""งบพรบ!EZ20"")"),18752)</f>
        <v>18752</v>
      </c>
      <c r="O338" s="425">
        <f ca="1">IF(L338&gt;0,N338*100/L338,0)</f>
        <v>17.690566037735849</v>
      </c>
      <c r="P338" s="425">
        <f ca="1">IF(M338&gt;0,N338*100/M338,0)</f>
        <v>21.868221574344023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IFERROR(__xludf.DUMMYFUNCTION("IMPORTRANGE(""https://docs.google.com/spreadsheets/d/1-uDff_7J0KD5mKrp0Vvzr7lt3OU09vwQwhkpOPPYv2Y/edit?usp=sharing"",""งบพรบ!EV20"")"),0)</f>
        <v>0</v>
      </c>
      <c r="M341" s="425">
        <f ca="1">IFERROR(__xludf.DUMMYFUNCTION("IMPORTRANGE(""https://docs.google.com/spreadsheets/d/1-uDff_7J0KD5mKrp0Vvzr7lt3OU09vwQwhkpOPPYv2Y/edit?usp=sharing"",""งบพรบ!EY20"")"),0)</f>
        <v>0</v>
      </c>
      <c r="N341" s="425">
        <f ca="1">IFERROR(__xludf.DUMMYFUNCTION("IMPORTRANGE(""https://docs.google.com/spreadsheets/d/1-uDff_7J0KD5mKrp0Vvzr7lt3OU09vwQwhkpOPPYv2Y/edit?usp=sharing"",""งบพรบ!FA20"")"),0)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892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IFERROR(__xludf.DUMMYFUNCTION("IMPORTRANGE(""https://docs.google.com/spreadsheets/d/1eHaY18a8A9IcSdp1K8H6x8fbOy06t2VsZHhMHf-1x7Y/edit?usp=sharing"",""แผน!EK20"")"),1060)</f>
        <v>1060</v>
      </c>
      <c r="J344" s="424">
        <f ca="1">IFERROR(__xludf.DUMMYFUNCTION("IMPORTRANGE(""https://docs.google.com/spreadsheets/d/1awYsYK3VOup2i3Pq_Yjnu8DRu_mYwSBnCR2QPthd0rU/edit?usp=sharing"",""ศูนย์ยกเว้นโฉนด!D20"")"),890)</f>
        <v>890</v>
      </c>
      <c r="K344" s="425">
        <f ca="1">IF(I344&gt;0,J344*100/I344,0)</f>
        <v>83.962264150943398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IFERROR(__xludf.DUMMYFUNCTION("IMPORTRANGE(""https://docs.google.com/spreadsheets/d/1eHaY18a8A9IcSdp1K8H6x8fbOy06t2VsZHhMHf-1x7Y/edit?usp=sharing"",""แผน!EL20"")"),3)</f>
        <v>3</v>
      </c>
      <c r="J346" s="424">
        <f ca="1">IFERROR(__xludf.DUMMYFUNCTION("IMPORTRANGE(""https://docs.google.com/spreadsheets/d/1awYsYK3VOup2i3Pq_Yjnu8DRu_mYwSBnCR2QPthd0rU/edit?usp=sharing"",""ศูนย์รวม!E20"")"),0)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IFERROR(__xludf.DUMMYFUNCTION("IMPORTRANGE(""https://docs.google.com/spreadsheets/d/1awYsYK3VOup2i3Pq_Yjnu8DRu_mYwSBnCR2QPthd0rU/edit?usp=sharing"",""ศูนย์ยกเว้นโฉนด!F20"")"),0)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IFERROR(__xludf.DUMMYFUNCTION("IMPORTRANGE(""https://docs.google.com/spreadsheets/d/1awYsYK3VOup2i3Pq_Yjnu8DRu_mYwSBnCR2QPthd0rU/edit?usp=sharing"",""ศูนย์ยกเว้นโฉนด!G20"")"),2)</f>
        <v>2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IFERROR(__xludf.DUMMYFUNCTION("IMPORTRANGE(""https://docs.google.com/spreadsheets/d/1awYsYK3VOup2i3Pq_Yjnu8DRu_mYwSBnCR2QPthd0rU/edit?usp=sharing"",""ศูนย์ยกเว้นโฉนด!H20"")"),0)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5582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IFERROR(__xludf.DUMMYFUNCTION("IMPORTRANGE(""https://docs.google.com/spreadsheets/d/1awYsYK3VOup2i3Pq_Yjnu8DRu_mYwSBnCR2QPthd0rU/edit?usp=sharing"",""โฉนดM3!G20"")"),952)</f>
        <v>952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IFERROR(__xludf.DUMMYFUNCTION("IMPORTRANGE(""https://docs.google.com/spreadsheets/d/1awYsYK3VOup2i3Pq_Yjnu8DRu_mYwSBnCR2QPthd0rU/edit?usp=sharing"",""โฉนดM3!H20"")"),4630)</f>
        <v>4630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235980</v>
      </c>
      <c r="M356" s="577">
        <f ca="1">M357+M358</f>
        <v>219900</v>
      </c>
      <c r="N356" s="577">
        <f ca="1">N357+N358</f>
        <v>55160</v>
      </c>
      <c r="O356" s="577">
        <f ca="1">IF(L356&gt;0,N356*100/L356,0)</f>
        <v>23.374862276464107</v>
      </c>
      <c r="P356" s="577">
        <f ca="1">IF(M356&gt;0,N356*100/M356,0)</f>
        <v>25.08412914961346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235980</v>
      </c>
      <c r="M358" s="425">
        <f ca="1">M361+M364</f>
        <v>219900</v>
      </c>
      <c r="N358" s="425">
        <f ca="1">N361+N364</f>
        <v>55160</v>
      </c>
      <c r="O358" s="425">
        <f ca="1">IF(L358&gt;0,N358*100/L358,0)</f>
        <v>23.374862276464107</v>
      </c>
      <c r="P358" s="425">
        <f ca="1">IF(M358&gt;0,N358*100/M358,0)</f>
        <v>25.08412914961346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235980</v>
      </c>
      <c r="M359" s="425">
        <f ca="1">M360+M361</f>
        <v>219900</v>
      </c>
      <c r="N359" s="425">
        <f ca="1">N360+N361</f>
        <v>55160</v>
      </c>
      <c r="O359" s="425">
        <f ca="1">IF(L359&gt;0,N359*100/L359,0)</f>
        <v>23.374862276464107</v>
      </c>
      <c r="P359" s="425">
        <f ca="1">IF(M359&gt;0,N359*100/M359,0)</f>
        <v>25.08412914961346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IFERROR(__xludf.DUMMYFUNCTION("IMPORTRANGE(""https://docs.google.com/spreadsheets/d/1-uDff_7J0KD5mKrp0Vvzr7lt3OU09vwQwhkpOPPYv2Y/edit?usp=sharing"",""งบพรบ!FC20"")"),235980)</f>
        <v>235980</v>
      </c>
      <c r="M361" s="425">
        <f ca="1">IFERROR(__xludf.DUMMYFUNCTION("IMPORTRANGE(""https://docs.google.com/spreadsheets/d/1-uDff_7J0KD5mKrp0Vvzr7lt3OU09vwQwhkpOPPYv2Y/edit?usp=sharing"",""งบพรบ!FH20"")"),219900)</f>
        <v>219900</v>
      </c>
      <c r="N361" s="425">
        <f ca="1">IFERROR(__xludf.DUMMYFUNCTION("IMPORTRANGE(""https://docs.google.com/spreadsheets/d/1-uDff_7J0KD5mKrp0Vvzr7lt3OU09vwQwhkpOPPYv2Y/edit?usp=sharing"",""งบพรบ!FJ20"")"),55160)</f>
        <v>55160</v>
      </c>
      <c r="O361" s="425">
        <f ca="1">IF(L361&gt;0,N361*100/L361,0)</f>
        <v>23.374862276464107</v>
      </c>
      <c r="P361" s="425">
        <f ca="1">IF(M361&gt;0,N361*100/M361,0)</f>
        <v>25.08412914961346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IFERROR(__xludf.DUMMYFUNCTION("IMPORTRANGE(""https://docs.google.com/spreadsheets/d/1-uDff_7J0KD5mKrp0Vvzr7lt3OU09vwQwhkpOPPYv2Y/edit?usp=sharing"",""งบพรบ!FF20"")"),0)</f>
        <v>0</v>
      </c>
      <c r="M364" s="425">
        <f ca="1">IFERROR(__xludf.DUMMYFUNCTION("IMPORTRANGE(""https://docs.google.com/spreadsheets/d/1-uDff_7J0KD5mKrp0Vvzr7lt3OU09vwQwhkpOPPYv2Y/edit?usp=sharing"",""งบพรบ!FI20"")"),0)</f>
        <v>0</v>
      </c>
      <c r="N364" s="425">
        <f ca="1">IFERROR(__xludf.DUMMYFUNCTION("IMPORTRANGE(""https://docs.google.com/spreadsheets/d/1-uDff_7J0KD5mKrp0Vvzr7lt3OU09vwQwhkpOPPYv2Y/edit?usp=sharing"",""งบพรบ!FK20"")"),0)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123</v>
      </c>
      <c r="J365" s="438">
        <f ca="1">J371</f>
        <v>22</v>
      </c>
      <c r="K365" s="439">
        <f ca="1">IF(I365&gt;0,J365*100/I365,0)</f>
        <v>17.886178861788618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IFERROR(__xludf.DUMMYFUNCTION("IMPORTRANGE(""https://docs.google.com/spreadsheets/d/1tdoBKaGub7dwA3U6UFTqxio9LNnvDCQjHKmttSEBsFQ/edit?usp=sharing"",""จัดที่ดิน!AB20"")"),60)</f>
        <v>60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IFERROR(__xludf.DUMMYFUNCTION("IMPORTRANGE(""https://docs.google.com/spreadsheets/d/1eHaY18a8A9IcSdp1K8H6x8fbOy06t2VsZHhMHf-1x7Y/edit?usp=sharing"",""แผน!EW20"")"),1145)</f>
        <v>1145</v>
      </c>
      <c r="J368" s="565">
        <f ca="1">IFERROR(__xludf.DUMMYFUNCTION("IMPORTRANGE(""https://docs.google.com/spreadsheets/d/1tdoBKaGub7dwA3U6UFTqxio9LNnvDCQjHKmttSEBsFQ/edit?usp=sharing"",""จัดที่ดิน!AC20"")"),337.51)</f>
        <v>337.51</v>
      </c>
      <c r="K368" s="425">
        <f ca="1">IF(I368&gt;0,J368*100/I368,0)</f>
        <v>29.476855895196508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IFERROR(__xludf.DUMMYFUNCTION("IMPORTRANGE(""https://docs.google.com/spreadsheets/d/1eHaY18a8A9IcSdp1K8H6x8fbOy06t2VsZHhMHf-1x7Y/edit?usp=sharing"",""แผน!EX20"")"),184)</f>
        <v>184</v>
      </c>
      <c r="J369" s="424">
        <f ca="1">IFERROR(__xludf.DUMMYFUNCTION("IMPORTRANGE(""https://docs.google.com/spreadsheets/d/1tdoBKaGub7dwA3U6UFTqxio9LNnvDCQjHKmttSEBsFQ/edit?usp=sharing"",""จัดที่ดิน!AD20"")"),21)</f>
        <v>21</v>
      </c>
      <c r="K369" s="425">
        <f ca="1">IF(I369&gt;0,J369*100/I369,0)</f>
        <v>11.413043478260869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IFERROR(__xludf.DUMMYFUNCTION("IMPORTRANGE(""https://docs.google.com/spreadsheets/d/1tdoBKaGub7dwA3U6UFTqxio9LNnvDCQjHKmttSEBsFQ/edit?usp=sharing"",""จัดที่ดิน!AE20"")"),182.87)</f>
        <v>182.87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IFERROR(__xludf.DUMMYFUNCTION("IMPORTRANGE(""https://docs.google.com/spreadsheets/d/1eHaY18a8A9IcSdp1K8H6x8fbOy06t2VsZHhMHf-1x7Y/edit?usp=sharing"",""แผน!EY20"")"),123)</f>
        <v>123</v>
      </c>
      <c r="J371" s="424">
        <f ca="1">IFERROR(__xludf.DUMMYFUNCTION("IMPORTRANGE(""https://docs.google.com/spreadsheets/d/1tdoBKaGub7dwA3U6UFTqxio9LNnvDCQjHKmttSEBsFQ/edit?usp=sharing"",""จัดที่ดิน!AF20"")"),22)</f>
        <v>22</v>
      </c>
      <c r="K371" s="425">
        <f ca="1">IF(I371&gt;0,J371*100/I371,0)</f>
        <v>17.886178861788618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IFERROR(__xludf.DUMMYFUNCTION("IMPORTRANGE(""https://docs.google.com/spreadsheets/d/1tdoBKaGub7dwA3U6UFTqxio9LNnvDCQjHKmttSEBsFQ/edit?usp=sharing"",""จัดที่ดิน!AG20"")"),149.34)</f>
        <v>149.34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IFERROR(__xludf.DUMMYFUNCTION("IMPORTRANGE(""https://docs.google.com/spreadsheets/d/1-uDff_7J0KD5mKrp0Vvzr7lt3OU09vwQwhkpOPPYv2Y/edit?usp=sharing"",""งบพรบ!FM20"")"),0)</f>
        <v>0</v>
      </c>
      <c r="M382" s="521">
        <f ca="1">IFERROR(__xludf.DUMMYFUNCTION("IMPORTRANGE(""https://docs.google.com/spreadsheets/d/1-uDff_7J0KD5mKrp0Vvzr7lt3OU09vwQwhkpOPPYv2Y/edit?usp=sharing"",""งบพรบ!FR20"")"),0)</f>
        <v>0</v>
      </c>
      <c r="N382" s="521">
        <f ca="1">IFERROR(__xludf.DUMMYFUNCTION("IMPORTRANGE(""https://docs.google.com/spreadsheets/d/1-uDff_7J0KD5mKrp0Vvzr7lt3OU09vwQwhkpOPPYv2Y/edit?usp=sharing"",""งบพรบ!FT20"")"),0)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IFERROR(__xludf.DUMMYFUNCTION("IMPORTRANGE(""https://docs.google.com/spreadsheets/d/1-uDff_7J0KD5mKrp0Vvzr7lt3OU09vwQwhkpOPPYv2Y/edit?usp=sharing"",""งบพรบ!FP20"")"),0)</f>
        <v>0</v>
      </c>
      <c r="M385" s="521">
        <f ca="1">IFERROR(__xludf.DUMMYFUNCTION("IMPORTRANGE(""https://docs.google.com/spreadsheets/d/1-uDff_7J0KD5mKrp0Vvzr7lt3OU09vwQwhkpOPPYv2Y/edit?usp=sharing"",""งบพรบ!FS20"")"),0)</f>
        <v>0</v>
      </c>
      <c r="N385" s="521">
        <f ca="1">IFERROR(__xludf.DUMMYFUNCTION("IMPORTRANGE(""https://docs.google.com/spreadsheets/d/1-uDff_7J0KD5mKrp0Vvzr7lt3OU09vwQwhkpOPPYv2Y/edit?usp=sharing"",""งบพรบ!FU20"")"),0)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EA68-9D3E-452F-9153-06714705897A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172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1752295</v>
      </c>
      <c r="M18" s="704">
        <f ca="1">M19+M20</f>
        <v>1537030</v>
      </c>
      <c r="N18" s="704">
        <f ca="1">N19+N20</f>
        <v>691446.84000000008</v>
      </c>
      <c r="O18" s="704">
        <f ca="1">IF(L18&gt;0,N18*100/L18,0)</f>
        <v>39.459499684699217</v>
      </c>
      <c r="P18" s="704">
        <f ca="1">IF(M18&gt;0,N18*100/M18,0)</f>
        <v>44.985903983656804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1752295</v>
      </c>
      <c r="M20" s="817">
        <f ca="1">M23+M26</f>
        <v>1537030</v>
      </c>
      <c r="N20" s="817">
        <f ca="1">N23+N26</f>
        <v>691446.84000000008</v>
      </c>
      <c r="O20" s="817">
        <f ca="1">IF(L20&gt;0,N20*100/L20,0)</f>
        <v>39.459499684699217</v>
      </c>
      <c r="P20" s="817">
        <f ca="1">IF(M20&gt;0,N20*100/M20,0)</f>
        <v>44.985903983656804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1752295</v>
      </c>
      <c r="M21" s="425">
        <f ca="1">M22+M23</f>
        <v>1537030</v>
      </c>
      <c r="N21" s="425">
        <f ca="1">N22+N23</f>
        <v>691446.84000000008</v>
      </c>
      <c r="O21" s="425">
        <f ca="1">IF(L21&gt;0,N21*100/L21,0)</f>
        <v>39.459499684699217</v>
      </c>
      <c r="P21" s="425">
        <f ca="1">IF(M21&gt;0,N21*100/M21,0)</f>
        <v>44.985903983656804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1752295</v>
      </c>
      <c r="M23" s="425">
        <f ca="1">M49+M64+M77+M99+M130+M144+M162+M191+M178+M271+M287+M308+M325+M338+M361+M382</f>
        <v>1537030</v>
      </c>
      <c r="N23" s="425">
        <f ca="1">N49+N64+N77+N99+N130+N144+N162+N191+N178+N271+N287+N308+N325+N338+N361+N382</f>
        <v>691446.84000000008</v>
      </c>
      <c r="O23" s="425">
        <f ca="1">IF(L23&gt;0,N23*100/L23,0)</f>
        <v>39.459499684699217</v>
      </c>
      <c r="P23" s="425">
        <f ca="1">IF(M23&gt;0,N23*100/M23,0)</f>
        <v>44.985903983656804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1752295</v>
      </c>
      <c r="M40" s="809">
        <f ca="1">M44+M59+M72+M94+M125+M139+M157+M173+M186+M266+M282+M303+M320+M333+M356</f>
        <v>1537030</v>
      </c>
      <c r="N40" s="809">
        <f ca="1">N44+N59+N72+N94+N125+N139+N157+N173+N186+N266+N282+N303+N320+N333+N356</f>
        <v>691446.84000000008</v>
      </c>
      <c r="O40" s="809">
        <f ca="1">IF(L40&gt;0,N40*100/L40,0)</f>
        <v>39.459499684699217</v>
      </c>
      <c r="P40" s="809">
        <f ca="1">IF(M40&gt;0,N40*100/M40,0)</f>
        <v>44.985903983656804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380550</v>
      </c>
      <c r="M44" s="794">
        <f ca="1">M45+M46</f>
        <v>383550</v>
      </c>
      <c r="N44" s="794">
        <f ca="1">N45+N46</f>
        <v>159750</v>
      </c>
      <c r="O44" s="794">
        <f ca="1">IF(L44&gt;0,N44*100/L44,0)</f>
        <v>41.978715017737485</v>
      </c>
      <c r="P44" s="794">
        <f ca="1">IF(M44&gt;0,N44*100/M44,0)</f>
        <v>41.650371529135704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380550</v>
      </c>
      <c r="M46" s="783">
        <f ca="1">M49+M52</f>
        <v>383550</v>
      </c>
      <c r="N46" s="783">
        <f ca="1">N49+N52</f>
        <v>159750</v>
      </c>
      <c r="O46" s="783">
        <f ca="1">IF(L46&gt;0,N46*100/L46,0)</f>
        <v>41.978715017737485</v>
      </c>
      <c r="P46" s="783">
        <f ca="1">IF(M46&gt;0,N46*100/M46,0)</f>
        <v>41.650371529135704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380550</v>
      </c>
      <c r="M47" s="425">
        <f ca="1">M48+M49</f>
        <v>383550</v>
      </c>
      <c r="N47" s="425">
        <f ca="1">N48+N49</f>
        <v>159750</v>
      </c>
      <c r="O47" s="425">
        <f ca="1">IF(L47&gt;0,N47*100/L47,0)</f>
        <v>41.978715017737485</v>
      </c>
      <c r="P47" s="425">
        <f ca="1">IF(M47&gt;0,N47*100/M47,0)</f>
        <v>41.650371529135704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IFERROR(__xludf.DUMMYFUNCTION("IMPORTRANGE(""https://docs.google.com/spreadsheets/d/1-uDff_7J0KD5mKrp0Vvzr7lt3OU09vwQwhkpOPPYv2Y/edit?usp=sharing"",""งบพรบ!P21"")"),380550)</f>
        <v>380550</v>
      </c>
      <c r="M49" s="425">
        <f ca="1">IFERROR(__xludf.DUMMYFUNCTION("IMPORTRANGE(""https://docs.google.com/spreadsheets/d/1-uDff_7J0KD5mKrp0Vvzr7lt3OU09vwQwhkpOPPYv2Y/edit?usp=sharing"",""งบพรบ!V21"")"),383550)</f>
        <v>383550</v>
      </c>
      <c r="N49" s="425">
        <f ca="1">IFERROR(__xludf.DUMMYFUNCTION("IMPORTRANGE(""https://docs.google.com/spreadsheets/d/1-uDff_7J0KD5mKrp0Vvzr7lt3OU09vwQwhkpOPPYv2Y/edit?usp=sharing"",""งบพรบ!Y21"")"),159750)</f>
        <v>159750</v>
      </c>
      <c r="O49" s="425">
        <f ca="1">IF(L49&gt;0,N49*100/L49,0)</f>
        <v>41.978715017737485</v>
      </c>
      <c r="P49" s="425">
        <f ca="1">IF(M49&gt;0,N49*100/M49,0)</f>
        <v>41.650371529135704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IFERROR(__xludf.DUMMYFUNCTION("IMPORTRANGE(""https://docs.google.com/spreadsheets/d/1-uDff_7J0KD5mKrp0Vvzr7lt3OU09vwQwhkpOPPYv2Y/edit?usp=sharing"",""งบพรบ!S21"")"),0)</f>
        <v>0</v>
      </c>
      <c r="M52" s="425">
        <f ca="1">IFERROR(__xludf.DUMMYFUNCTION("IMPORTRANGE(""https://docs.google.com/spreadsheets/d/1-uDff_7J0KD5mKrp0Vvzr7lt3OU09vwQwhkpOPPYv2Y/edit?usp=sharing"",""งบพรบ!W21"")"),0)</f>
        <v>0</v>
      </c>
      <c r="N52" s="425">
        <f ca="1">IFERROR(__xludf.DUMMYFUNCTION("IMPORTRANGE(""https://docs.google.com/spreadsheets/d/1-uDff_7J0KD5mKrp0Vvzr7lt3OU09vwQwhkpOPPYv2Y/edit?usp=sharing"",""งบพรบ!Z21"")"),0)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448300</v>
      </c>
      <c r="M59" s="763">
        <f ca="1">M60+M61</f>
        <v>338150</v>
      </c>
      <c r="N59" s="763">
        <f ca="1">N60+N61</f>
        <v>211599.18</v>
      </c>
      <c r="O59" s="763">
        <f ca="1">IF(L59&gt;0,N59*100/L59,0)</f>
        <v>47.200352442560785</v>
      </c>
      <c r="P59" s="763">
        <f ca="1">IF(M59&gt;0,N59*100/M59,0)</f>
        <v>62.575537483365373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448300</v>
      </c>
      <c r="M61" s="752">
        <f ca="1">M64+M67</f>
        <v>338150</v>
      </c>
      <c r="N61" s="752">
        <f ca="1">N64+N67</f>
        <v>211599.18</v>
      </c>
      <c r="O61" s="752">
        <f ca="1">IF(L61&gt;0,N61*100/L61,0)</f>
        <v>47.200352442560785</v>
      </c>
      <c r="P61" s="752">
        <f ca="1">IF(M61&gt;0,N61*100/M61,0)</f>
        <v>62.575537483365373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448300</v>
      </c>
      <c r="M62" s="425">
        <f ca="1">M63+M64</f>
        <v>338150</v>
      </c>
      <c r="N62" s="425">
        <f ca="1">N63+N64</f>
        <v>211599.18</v>
      </c>
      <c r="O62" s="425">
        <f ca="1">IF(L62&gt;0,N62*100/L62,0)</f>
        <v>47.200352442560785</v>
      </c>
      <c r="P62" s="425">
        <f ca="1">IF(M62&gt;0,N62*100/M62,0)</f>
        <v>62.575537483365373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IFERROR(__xludf.DUMMYFUNCTION("IMPORTRANGE(""https://docs.google.com/spreadsheets/d/1-uDff_7J0KD5mKrp0Vvzr7lt3OU09vwQwhkpOPPYv2Y/edit?usp=sharing"",""งบพรบ!AC21"")"),448300)</f>
        <v>448300</v>
      </c>
      <c r="M64" s="425">
        <f ca="1">IFERROR(__xludf.DUMMYFUNCTION("IMPORTRANGE(""https://docs.google.com/spreadsheets/d/1-uDff_7J0KD5mKrp0Vvzr7lt3OU09vwQwhkpOPPYv2Y/edit?usp=sharing"",""งบพรบ!AH21"")"),338150)</f>
        <v>338150</v>
      </c>
      <c r="N64" s="425">
        <f ca="1">IFERROR(__xludf.DUMMYFUNCTION("IMPORTRANGE(""https://docs.google.com/spreadsheets/d/1-uDff_7J0KD5mKrp0Vvzr7lt3OU09vwQwhkpOPPYv2Y/edit?usp=sharing"",""งบพรบ!AJ21"")"),211599.18)</f>
        <v>211599.18</v>
      </c>
      <c r="O64" s="425">
        <f ca="1">IF(L64&gt;0,N64*100/L64,0)</f>
        <v>47.200352442560785</v>
      </c>
      <c r="P64" s="425">
        <f ca="1">IF(M64&gt;0,N64*100/M64,0)</f>
        <v>62.575537483365373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IFERROR(__xludf.DUMMYFUNCTION("IMPORTRANGE(""https://docs.google.com/spreadsheets/d/1-uDff_7J0KD5mKrp0Vvzr7lt3OU09vwQwhkpOPPYv2Y/edit?usp=sharing"",""งบพรบ!AF21"")"),0)</f>
        <v>0</v>
      </c>
      <c r="M67" s="747">
        <f ca="1">IFERROR(__xludf.DUMMYFUNCTION("IMPORTRANGE(""https://docs.google.com/spreadsheets/d/1-uDff_7J0KD5mKrp0Vvzr7lt3OU09vwQwhkpOPPYv2Y/edit?usp=sharing"",""งบพรบ!AI21"")"),0)</f>
        <v>0</v>
      </c>
      <c r="N67" s="747">
        <f ca="1">IFERROR(__xludf.DUMMYFUNCTION("IMPORTRANGE(""https://docs.google.com/spreadsheets/d/1-uDff_7J0KD5mKrp0Vvzr7lt3OU09vwQwhkpOPPYv2Y/edit?usp=sharing"",""งบพรบ!AK21"")"),0)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IFERROR(__xludf.DUMMYFUNCTION("IMPORTRANGE(""https://docs.google.com/spreadsheets/d/1-uDff_7J0KD5mKrp0Vvzr7lt3OU09vwQwhkpOPPYv2Y/edit?usp=sharing"",""งบพรบ!AM21"")"),0)</f>
        <v>0</v>
      </c>
      <c r="M77" s="425">
        <f ca="1">IFERROR(__xludf.DUMMYFUNCTION("IMPORTRANGE(""https://docs.google.com/spreadsheets/d/1-uDff_7J0KD5mKrp0Vvzr7lt3OU09vwQwhkpOPPYv2Y/edit?usp=sharing"",""งบพรบ!AR21"")"),0)</f>
        <v>0</v>
      </c>
      <c r="N77" s="425">
        <f ca="1">IFERROR(__xludf.DUMMYFUNCTION("IMPORTRANGE(""https://docs.google.com/spreadsheets/d/1-uDff_7J0KD5mKrp0Vvzr7lt3OU09vwQwhkpOPPYv2Y/edit?usp=sharing"",""งบพรบ!AT21"")"),0)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IFERROR(__xludf.DUMMYFUNCTION("IMPORTRANGE(""https://docs.google.com/spreadsheets/d/1-uDff_7J0KD5mKrp0Vvzr7lt3OU09vwQwhkpOPPYv2Y/edit?usp=sharing"",""งบพรบ!AP21"")"),0)</f>
        <v>0</v>
      </c>
      <c r="M80" s="425">
        <f ca="1">IFERROR(__xludf.DUMMYFUNCTION("IMPORTRANGE(""https://docs.google.com/spreadsheets/d/1-uDff_7J0KD5mKrp0Vvzr7lt3OU09vwQwhkpOPPYv2Y/edit?usp=sharing"",""งบพรบ!AS21"")"),0)</f>
        <v>0</v>
      </c>
      <c r="N80" s="425">
        <f ca="1">IFERROR(__xludf.DUMMYFUNCTION("IMPORTRANGE(""https://docs.google.com/spreadsheets/d/1-uDff_7J0KD5mKrp0Vvzr7lt3OU09vwQwhkpOPPYv2Y/edit?usp=sharing"",""งบพรบ!AU21"")"),0)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IFERROR(__xludf.DUMMYFUNCTION("IMPORTRANGE(""https://docs.google.com/spreadsheets/d/1eHaY18a8A9IcSdp1K8H6x8fbOy06t2VsZHhMHf-1x7Y/edit?usp=sharing"",""แผน!H21"")"),0)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IFERROR(__xludf.DUMMYFUNCTION("IMPORTRANGE(""https://docs.google.com/spreadsheets/d/1eHaY18a8A9IcSdp1K8H6x8fbOy06t2VsZHhMHf-1x7Y/edit?usp=sharing"",""แผน!I21"")"),0)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IFERROR(__xludf.DUMMYFUNCTION("IMPORTRANGE(""https://docs.google.com/spreadsheets/d/1eHaY18a8A9IcSdp1K8H6x8fbOy06t2VsZHhMHf-1x7Y/edit?usp=sharing"",""แผน!F21"")"),0)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IFERROR(__xludf.DUMMYFUNCTION("IMPORTRANGE(""https://docs.google.com/spreadsheets/d/1eHaY18a8A9IcSdp1K8H6x8fbOy06t2VsZHhMHf-1x7Y/edit?usp=sharing"",""แผน!G21"")"),0)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IFERROR(__xludf.DUMMYFUNCTION("IMPORTRANGE(""https://docs.google.com/spreadsheets/d/1eHaY18a8A9IcSdp1K8H6x8fbOy06t2VsZHhMHf-1x7Y/edit?usp=sharing"",""แผน!D21"")"),0)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IFERROR(__xludf.DUMMYFUNCTION("IMPORTRANGE(""https://docs.google.com/spreadsheets/d/1eHaY18a8A9IcSdp1K8H6x8fbOy06t2VsZHhMHf-1x7Y/edit?usp=sharing"",""แผน!E21"")"),0)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IFERROR(__xludf.DUMMYFUNCTION("IMPORTRANGE(""https://docs.google.com/spreadsheets/d/1eHaY18a8A9IcSdp1K8H6x8fbOy06t2VsZHhMHf-1x7Y/edit?usp=sharing"",""แผน!J21"")"),0)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IFERROR(__xludf.DUMMYFUNCTION("IMPORTRANGE(""https://docs.google.com/spreadsheets/d/1-uDff_7J0KD5mKrp0Vvzr7lt3OU09vwQwhkpOPPYv2Y/edit?usp=sharing"",""งบพรบ!AW21"")"),0)</f>
        <v>0</v>
      </c>
      <c r="M99" s="425">
        <f ca="1">IFERROR(__xludf.DUMMYFUNCTION("IMPORTRANGE(""https://docs.google.com/spreadsheets/d/1-uDff_7J0KD5mKrp0Vvzr7lt3OU09vwQwhkpOPPYv2Y/edit?usp=sharing"",""งบพรบ!BB21"")"),0)</f>
        <v>0</v>
      </c>
      <c r="N99" s="425">
        <f ca="1">IFERROR(__xludf.DUMMYFUNCTION("IMPORTRANGE(""https://docs.google.com/spreadsheets/d/1-uDff_7J0KD5mKrp0Vvzr7lt3OU09vwQwhkpOPPYv2Y/edit?usp=sharing"",""งบพรบ!BD21"")"),0)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IFERROR(__xludf.DUMMYFUNCTION("IMPORTRANGE(""https://docs.google.com/spreadsheets/d/1-uDff_7J0KD5mKrp0Vvzr7lt3OU09vwQwhkpOPPYv2Y/edit?usp=sharing"",""งบพรบ!AZ21"")"),0)</f>
        <v>0</v>
      </c>
      <c r="M102" s="425">
        <f ca="1">IFERROR(__xludf.DUMMYFUNCTION("IMPORTRANGE(""https://docs.google.com/spreadsheets/d/1-uDff_7J0KD5mKrp0Vvzr7lt3OU09vwQwhkpOPPYv2Y/edit?usp=sharing"",""งบพรบ!BC21"")"),0)</f>
        <v>0</v>
      </c>
      <c r="N102" s="425">
        <f ca="1">IFERROR(__xludf.DUMMYFUNCTION("IMPORTRANGE(""https://docs.google.com/spreadsheets/d/1-uDff_7J0KD5mKrp0Vvzr7lt3OU09vwQwhkpOPPYv2Y/edit?usp=sharing"",""งบพรบ!BE21"")"),0)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IFERROR(__xludf.DUMMYFUNCTION("IMPORTRANGE(""https://docs.google.com/spreadsheets/d/1eHaY18a8A9IcSdp1K8H6x8fbOy06t2VsZHhMHf-1x7Y/edit?usp=sharing"",""แผน!N21"")"),0)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IFERROR(__xludf.DUMMYFUNCTION("IMPORTRANGE(""https://docs.google.com/spreadsheets/d/1eHaY18a8A9IcSdp1K8H6x8fbOy06t2VsZHhMHf-1x7Y/edit?usp=sharing"",""แผน!O21"")"),0)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IFERROR(__xludf.DUMMYFUNCTION("IMPORTRANGE(""https://docs.google.com/spreadsheets/d/1eHaY18a8A9IcSdp1K8H6x8fbOy06t2VsZHhMHf-1x7Y/edit?usp=sharing"",""แผน!R21"")"),0)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IFERROR(__xludf.DUMMYFUNCTION("IMPORTRANGE(""https://docs.google.com/spreadsheets/d/1-uDff_7J0KD5mKrp0Vvzr7lt3OU09vwQwhkpOPPYv2Y/edit?usp=sharing"",""งบพรบ!BG21"")"),0)</f>
        <v>0</v>
      </c>
      <c r="M130" s="723">
        <f ca="1">IFERROR(__xludf.DUMMYFUNCTION("IMPORTRANGE(""https://docs.google.com/spreadsheets/d/1-uDff_7J0KD5mKrp0Vvzr7lt3OU09vwQwhkpOPPYv2Y/edit?usp=sharing"",""งบพรบ!BL21"")"),0)</f>
        <v>0</v>
      </c>
      <c r="N130" s="723">
        <f ca="1">IFERROR(__xludf.DUMMYFUNCTION("IMPORTRANGE(""https://docs.google.com/spreadsheets/d/1-uDff_7J0KD5mKrp0Vvzr7lt3OU09vwQwhkpOPPYv2Y/edit?usp=sharing"",""งบพรบ!BN21"")"),0)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IFERROR(__xludf.DUMMYFUNCTION("IMPORTRANGE(""https://docs.google.com/spreadsheets/d/1-uDff_7J0KD5mKrp0Vvzr7lt3OU09vwQwhkpOPPYv2Y/edit?usp=sharing"",""งบพรบ!BJ21"")"),0)</f>
        <v>0</v>
      </c>
      <c r="M133" s="723">
        <f ca="1">IFERROR(__xludf.DUMMYFUNCTION("IMPORTRANGE(""https://docs.google.com/spreadsheets/d/1-uDff_7J0KD5mKrp0Vvzr7lt3OU09vwQwhkpOPPYv2Y/edit?usp=sharing"",""งบพรบ!BM21"")"),0)</f>
        <v>0</v>
      </c>
      <c r="N133" s="723">
        <f ca="1">IFERROR(__xludf.DUMMYFUNCTION("IMPORTRANGE(""https://docs.google.com/spreadsheets/d/1-uDff_7J0KD5mKrp0Vvzr7lt3OU09vwQwhkpOPPYv2Y/edit?usp=sharing"",""งบพรบ!BO21"")"),0)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IFERROR(__xludf.DUMMYFUNCTION("IMPORTRANGE(""https://docs.google.com/spreadsheets/d/1-uDff_7J0KD5mKrp0Vvzr7lt3OU09vwQwhkpOPPYv2Y/edit?usp=sharing"",""งบพรบ!BQ21"")"),0)</f>
        <v>0</v>
      </c>
      <c r="M144" s="425">
        <f ca="1">IFERROR(__xludf.DUMMYFUNCTION("IMPORTRANGE(""https://docs.google.com/spreadsheets/d/1-uDff_7J0KD5mKrp0Vvzr7lt3OU09vwQwhkpOPPYv2Y/edit?usp=sharing"",""งบพรบ!BV21"")"),0)</f>
        <v>0</v>
      </c>
      <c r="N144" s="425">
        <f ca="1">IFERROR(__xludf.DUMMYFUNCTION("IMPORTRANGE(""https://docs.google.com/spreadsheets/d/1-uDff_7J0KD5mKrp0Vvzr7lt3OU09vwQwhkpOPPYv2Y/edit?usp=sharing"",""งบพรบ!BX21"")"),0)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IFERROR(__xludf.DUMMYFUNCTION("IMPORTRANGE(""https://docs.google.com/spreadsheets/d/1-uDff_7J0KD5mKrp0Vvzr7lt3OU09vwQwhkpOPPYv2Y/edit?usp=sharing"",""งบพรบ!BT21"")"),0)</f>
        <v>0</v>
      </c>
      <c r="M147" s="425">
        <f ca="1">IFERROR(__xludf.DUMMYFUNCTION("IMPORTRANGE(""https://docs.google.com/spreadsheets/d/1-uDff_7J0KD5mKrp0Vvzr7lt3OU09vwQwhkpOPPYv2Y/edit?usp=sharing"",""งบพรบ!BW21"")"),0)</f>
        <v>0</v>
      </c>
      <c r="N147" s="425">
        <f ca="1">IFERROR(__xludf.DUMMYFUNCTION("IMPORTRANGE(""https://docs.google.com/spreadsheets/d/1-uDff_7J0KD5mKrp0Vvzr7lt3OU09vwQwhkpOPPYv2Y/edit?usp=sharing"",""งบพรบ!BY21"")"),0)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IFERROR(__xludf.DUMMYFUNCTION("IMPORTRANGE(""https://docs.google.com/spreadsheets/d/1eHaY18a8A9IcSdp1K8H6x8fbOy06t2VsZHhMHf-1x7Y/edit?usp=sharing"",""แผน!U21"")"),0)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IFERROR(__xludf.DUMMYFUNCTION("IMPORTRANGE(""https://docs.google.com/spreadsheets/d/1eHaY18a8A9IcSdp1K8H6x8fbOy06t2VsZHhMHf-1x7Y/edit?usp=sharing"",""แผน!V21"")"),0)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IFERROR(__xludf.DUMMYFUNCTION("IMPORTRANGE(""https://docs.google.com/spreadsheets/d/1eHaY18a8A9IcSdp1K8H6x8fbOy06t2VsZHhMHf-1x7Y/edit?usp=sharing"",""แผน!W21"")"),0)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IFERROR(__xludf.DUMMYFUNCTION("IMPORTRANGE(""https://docs.google.com/spreadsheets/d/1eHaY18a8A9IcSdp1K8H6x8fbOy06t2VsZHhMHf-1x7Y/edit?usp=sharing"",""แผน!X21"")"),0)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IFERROR(__xludf.DUMMYFUNCTION("IMPORTRANGE(""https://docs.google.com/spreadsheets/d/1eHaY18a8A9IcSdp1K8H6x8fbOy06t2VsZHhMHf-1x7Y/edit?usp=sharing"",""แผน!Y21"")"),0)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IFERROR(__xludf.DUMMYFUNCTION("IMPORTRANGE(""https://docs.google.com/spreadsheets/d/1-uDff_7J0KD5mKrp0Vvzr7lt3OU09vwQwhkpOPPYv2Y/edit?usp=sharing"",""งบพรบ!CA21"")"),0)</f>
        <v>0</v>
      </c>
      <c r="M162" s="425">
        <f ca="1">IFERROR(__xludf.DUMMYFUNCTION("IMPORTRANGE(""https://docs.google.com/spreadsheets/d/1-uDff_7J0KD5mKrp0Vvzr7lt3OU09vwQwhkpOPPYv2Y/edit?usp=sharing"",""งบพรบ!CF21"")"),0)</f>
        <v>0</v>
      </c>
      <c r="N162" s="425">
        <f ca="1">IFERROR(__xludf.DUMMYFUNCTION("IMPORTRANGE(""https://docs.google.com/spreadsheets/d/1-uDff_7J0KD5mKrp0Vvzr7lt3OU09vwQwhkpOPPYv2Y/edit?usp=sharing"",""งบพรบ!CH21"")"),0)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IFERROR(__xludf.DUMMYFUNCTION("IMPORTRANGE(""https://docs.google.com/spreadsheets/d/1-uDff_7J0KD5mKrp0Vvzr7lt3OU09vwQwhkpOPPYv2Y/edit?usp=sharing"",""งบพรบ!CD21"")"),0)</f>
        <v>0</v>
      </c>
      <c r="M165" s="425">
        <f ca="1">IFERROR(__xludf.DUMMYFUNCTION("IMPORTRANGE(""https://docs.google.com/spreadsheets/d/1-uDff_7J0KD5mKrp0Vvzr7lt3OU09vwQwhkpOPPYv2Y/edit?usp=sharing"",""งบพรบ!CG21"")"),0)</f>
        <v>0</v>
      </c>
      <c r="N165" s="425">
        <f ca="1">IFERROR(__xludf.DUMMYFUNCTION("IMPORTRANGE(""https://docs.google.com/spreadsheets/d/1-uDff_7J0KD5mKrp0Vvzr7lt3OU09vwQwhkpOPPYv2Y/edit?usp=sharing"",""งบพรบ!CI21"")"),0)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IFERROR(__xludf.DUMMYFUNCTION("IMPORTRANGE(""https://docs.google.com/spreadsheets/d/1eHaY18a8A9IcSdp1K8H6x8fbOy06t2VsZHhMHf-1x7Y/edit?usp=sharing"",""แผน!Z21"")"),0)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IFERROR(__xludf.DUMMYFUNCTION("IMPORTRANGE(""https://docs.google.com/spreadsheets/d/1eHaY18a8A9IcSdp1K8H6x8fbOy06t2VsZHhMHf-1x7Y/edit?usp=sharing"",""แผน!Z21"")"),0)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IFERROR(__xludf.DUMMYFUNCTION("IMPORTRANGE(""https://docs.google.com/spreadsheets/d/1eHaY18a8A9IcSdp1K8H6x8fbOy06t2VsZHhMHf-1x7Y/edit?usp=sharing"",""แผน!Z21"")"),0)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128065</v>
      </c>
      <c r="N173" s="577">
        <f ca="1">N174+N175</f>
        <v>108475</v>
      </c>
      <c r="O173" s="577">
        <f ca="1">IF(L173&gt;0,N173*100/L173,0)</f>
        <v>553.72639101582445</v>
      </c>
      <c r="P173" s="577">
        <f ca="1">IF(M173&gt;0,N173*100/M173,0)</f>
        <v>84.703080466950382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hidden="1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128065</v>
      </c>
      <c r="N175" s="425">
        <f ca="1">N178+N181</f>
        <v>108475</v>
      </c>
      <c r="O175" s="425">
        <f ca="1">IF(L175&gt;0,N175*100/L175,0)</f>
        <v>553.72639101582445</v>
      </c>
      <c r="P175" s="425">
        <f ca="1">IF(M175&gt;0,N175*100/M175,0)</f>
        <v>84.703080466950382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128065</v>
      </c>
      <c r="N176" s="425">
        <f ca="1">N177+N178</f>
        <v>108475</v>
      </c>
      <c r="O176" s="425">
        <f ca="1">IF(L176&gt;0,N176*100/L176,0)</f>
        <v>553.72639101582445</v>
      </c>
      <c r="P176" s="425">
        <f ca="1">IF(M176&gt;0,N176*100/M176,0)</f>
        <v>84.703080466950382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hidden="1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IFERROR(__xludf.DUMMYFUNCTION("IMPORTRANGE(""https://docs.google.com/spreadsheets/d/1-uDff_7J0KD5mKrp0Vvzr7lt3OU09vwQwhkpOPPYv2Y/edit?usp=sharing"",""งบพรบ!CK21"")"),19590)</f>
        <v>19590</v>
      </c>
      <c r="M178" s="425">
        <f ca="1">IFERROR(__xludf.DUMMYFUNCTION("IMPORTRANGE(""https://docs.google.com/spreadsheets/d/1-uDff_7J0KD5mKrp0Vvzr7lt3OU09vwQwhkpOPPYv2Y/edit?usp=sharing"",""งบพรบ!CP21"")"),128065)</f>
        <v>128065</v>
      </c>
      <c r="N178" s="425">
        <f ca="1">IFERROR(__xludf.DUMMYFUNCTION("IMPORTRANGE(""https://docs.google.com/spreadsheets/d/1-uDff_7J0KD5mKrp0Vvzr7lt3OU09vwQwhkpOPPYv2Y/edit?usp=sharing"",""งบพรบ!CR21"")"),108475)</f>
        <v>108475</v>
      </c>
      <c r="O178" s="425">
        <f ca="1">IF(L178&gt;0,N178*100/L178,0)</f>
        <v>553.72639101582445</v>
      </c>
      <c r="P178" s="425">
        <f ca="1">IF(M178&gt;0,N178*100/M178,0)</f>
        <v>84.703080466950382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hidden="1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IFERROR(__xludf.DUMMYFUNCTION("IMPORTRANGE(""https://docs.google.com/spreadsheets/d/1-uDff_7J0KD5mKrp0Vvzr7lt3OU09vwQwhkpOPPYv2Y/edit?usp=sharing"",""งบพรบ!CN21"")"),0)</f>
        <v>0</v>
      </c>
      <c r="M181" s="425">
        <f ca="1">IFERROR(__xludf.DUMMYFUNCTION("IMPORTRANGE(""https://docs.google.com/spreadsheets/d/1-uDff_7J0KD5mKrp0Vvzr7lt3OU09vwQwhkpOPPYv2Y/edit?usp=sharing"",""งบพรบ!CQ21"")"),0)</f>
        <v>0</v>
      </c>
      <c r="N181" s="425">
        <f ca="1">IFERROR(__xludf.DUMMYFUNCTION("IMPORTRANGE(""https://docs.google.com/spreadsheets/d/1-uDff_7J0KD5mKrp0Vvzr7lt3OU09vwQwhkpOPPYv2Y/edit?usp=sharing"",""งบพรบ!CS21"")"),0)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IFERROR(__xludf.DUMMYFUNCTION("IMPORTRANGE(""https://docs.google.com/spreadsheets/d/1eHaY18a8A9IcSdp1K8H6x8fbOy06t2VsZHhMHf-1x7Y/edit?usp=sharing"",""แผน!AA21"")"),7)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hidden="1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218500</v>
      </c>
      <c r="M186" s="577">
        <f ca="1">M187+M188</f>
        <v>152500</v>
      </c>
      <c r="N186" s="577">
        <f ca="1">N187+N188</f>
        <v>51866.67</v>
      </c>
      <c r="O186" s="577">
        <f ca="1">IF(L186&gt;0,N186*100/L186,0)</f>
        <v>23.737606407322655</v>
      </c>
      <c r="P186" s="577">
        <f ca="1">IF(M186&gt;0,N186*100/M186,0)</f>
        <v>34.010931147540987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hidden="1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218500</v>
      </c>
      <c r="M188" s="425">
        <f ca="1">M191+M194</f>
        <v>152500</v>
      </c>
      <c r="N188" s="425">
        <f ca="1">N191+N194</f>
        <v>51866.67</v>
      </c>
      <c r="O188" s="425">
        <f ca="1">IF(L188&gt;0,N188*100/L188,0)</f>
        <v>23.737606407322655</v>
      </c>
      <c r="P188" s="425">
        <f ca="1">IF(M188&gt;0,N188*100/M188,0)</f>
        <v>34.010931147540987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218500</v>
      </c>
      <c r="M189" s="425">
        <f ca="1">M190+M191</f>
        <v>152500</v>
      </c>
      <c r="N189" s="425">
        <f ca="1">N190+N191</f>
        <v>51866.67</v>
      </c>
      <c r="O189" s="425">
        <f ca="1">IF(L189&gt;0,N189*100/L189,0)</f>
        <v>23.737606407322655</v>
      </c>
      <c r="P189" s="425">
        <f ca="1">IF(M189&gt;0,N189*100/M189,0)</f>
        <v>34.010931147540987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hidden="1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IFERROR(__xludf.DUMMYFUNCTION("IMPORTRANGE(""https://docs.google.com/spreadsheets/d/1-uDff_7J0KD5mKrp0Vvzr7lt3OU09vwQwhkpOPPYv2Y/edit?usp=sharing"",""งบพรบ!CU21"")"),218500)</f>
        <v>218500</v>
      </c>
      <c r="M191" s="425">
        <f ca="1">IFERROR(__xludf.DUMMYFUNCTION("IMPORTRANGE(""https://docs.google.com/spreadsheets/d/1-uDff_7J0KD5mKrp0Vvzr7lt3OU09vwQwhkpOPPYv2Y/edit?usp=sharing"",""งบพรบ!CZ21"")"),152500)</f>
        <v>152500</v>
      </c>
      <c r="N191" s="425">
        <f ca="1">IFERROR(__xludf.DUMMYFUNCTION("IMPORTRANGE(""https://docs.google.com/spreadsheets/d/1-uDff_7J0KD5mKrp0Vvzr7lt3OU09vwQwhkpOPPYv2Y/edit?usp=sharing"",""งบพรบ!DB21"")"),51866.67)</f>
        <v>51866.67</v>
      </c>
      <c r="O191" s="425">
        <f ca="1">IF(L191&gt;0,N191*100/L191,0)</f>
        <v>23.737606407322655</v>
      </c>
      <c r="P191" s="425">
        <f ca="1">IF(M191&gt;0,N191*100/M191,0)</f>
        <v>34.010931147540987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hidden="1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IFERROR(__xludf.DUMMYFUNCTION("IMPORTRANGE(""https://docs.google.com/spreadsheets/d/1-uDff_7J0KD5mKrp0Vvzr7lt3OU09vwQwhkpOPPYv2Y/edit?usp=sharing"",""งบพรบ!CX21"")"),0)</f>
        <v>0</v>
      </c>
      <c r="M194" s="425">
        <f ca="1">IFERROR(__xludf.DUMMYFUNCTION("IMPORTRANGE(""https://docs.google.com/spreadsheets/d/1-uDff_7J0KD5mKrp0Vvzr7lt3OU09vwQwhkpOPPYv2Y/edit?usp=sharing"",""งบพรบ!DA21"")"),0)</f>
        <v>0</v>
      </c>
      <c r="N194" s="425">
        <f ca="1">IFERROR(__xludf.DUMMYFUNCTION("IMPORTRANGE(""https://docs.google.com/spreadsheets/d/1-uDff_7J0KD5mKrp0Vvzr7lt3OU09vwQwhkpOPPYv2Y/edit?usp=sharing"",""งบพรบ!DC21"")"),0)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IFERROR(__xludf.DUMMYFUNCTION("IMPORTRANGE(""https://docs.google.com/spreadsheets/d/1eHaY18a8A9IcSdp1K8H6x8fbOy06t2VsZHhMHf-1x7Y/edit?usp=sharing"",""แผน!AB21"")"),6000)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IFERROR(__xludf.DUMMYFUNCTION("IMPORTRANGE(""https://docs.google.com/spreadsheets/d/1eHaY18a8A9IcSdp1K8H6x8fbOy06t2VsZHhMHf-1x7Y/edit?usp=sharing"",""แผน!AE21"")"),4)</f>
        <v>4</v>
      </c>
      <c r="J198" s="595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32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32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IFERROR(__xludf.DUMMYFUNCTION("IMPORTRANGE(""https://docs.google.com/spreadsheets/d/1eHaY18a8A9IcSdp1K8H6x8fbOy06t2VsZHhMHf-1x7Y/edit?usp=sharing"",""แผน!AG21"")"),2000)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IFERROR(__xludf.DUMMYFUNCTION("IMPORTRANGE(""https://docs.google.com/spreadsheets/d/1eHaY18a8A9IcSdp1K8H6x8fbOy06t2VsZHhMHf-1x7Y/edit?usp=sharing"",""แผน!AH21"")"),0)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IFERROR(__xludf.DUMMYFUNCTION("IMPORTRANGE(""https://docs.google.com/spreadsheets/d/1eHaY18a8A9IcSdp1K8H6x8fbOy06t2VsZHhMHf-1x7Y/edit?usp=sharing"",""แผน!AI21"")"),16000)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IFERROR(__xludf.DUMMYFUNCTION("IMPORTRANGE(""https://docs.google.com/spreadsheets/d/1eHaY18a8A9IcSdp1K8H6x8fbOy06t2VsZHhMHf-1x7Y/edit?usp=sharing"",""แผน!AJ21"")"),8000)</f>
        <v>8000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IFERROR(__xludf.DUMMYFUNCTION("IMPORTRANGE(""https://docs.google.com/spreadsheets/d/1eHaY18a8A9IcSdp1K8H6x8fbOy06t2VsZHhMHf-1x7Y/edit?usp=sharing"",""แผน!AK21"")"),2)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IFERROR(__xludf.DUMMYFUNCTION("IMPORTRANGE(""https://docs.google.com/spreadsheets/d/1eHaY18a8A9IcSdp1K8H6x8fbOy06t2VsZHhMHf-1x7Y/edit?usp=sharing"",""แผน!JX21"")"),2)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IFERROR(__xludf.DUMMYFUNCTION("IMPORTRANGE(""https://docs.google.com/spreadsheets/d/1eHaY18a8A9IcSdp1K8H6x8fbOy06t2VsZHhMHf-1x7Y/edit?usp=sharing"",""แผน!JY21"")"),0)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IFERROR(__xludf.DUMMYFUNCTION("IMPORTRANGE(""https://docs.google.com/spreadsheets/d/1eHaY18a8A9IcSdp1K8H6x8fbOy06t2VsZHhMHf-1x7Y/edit?usp=sharing"",""แผน!AM21"")"),0)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IFERROR(__xludf.DUMMYFUNCTION("IMPORTRANGE(""https://docs.google.com/spreadsheets/d/1eHaY18a8A9IcSdp1K8H6x8fbOy06t2VsZHhMHf-1x7Y/edit?usp=sharing"",""แผน!AN21"")"),0)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IFERROR(__xludf.DUMMYFUNCTION("IMPORTRANGE(""https://docs.google.com/spreadsheets/d/1eHaY18a8A9IcSdp1K8H6x8fbOy06t2VsZHhMHf-1x7Y/edit?usp=sharing"",""แผน!AO21"")"),0)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IFERROR(__xludf.DUMMYFUNCTION("IMPORTRANGE(""https://docs.google.com/spreadsheets/d/1eHaY18a8A9IcSdp1K8H6x8fbOy06t2VsZHhMHf-1x7Y/edit?usp=sharing"",""แผน!AP21"")"),0)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IFERROR(__xludf.DUMMYFUNCTION("IMPORTRANGE(""https://docs.google.com/spreadsheets/d/1eHaY18a8A9IcSdp1K8H6x8fbOy06t2VsZHhMHf-1x7Y/edit?usp=sharing"",""แผน!AP21"")"),0)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20000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4500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IFERROR(__xludf.DUMMYFUNCTION("IMPORTRANGE(""https://docs.google.com/spreadsheets/d/1eHaY18a8A9IcSdp1K8H6x8fbOy06t2VsZHhMHf-1x7Y/edit?usp=sharing"",""แผน!AR21"")"),3000)</f>
        <v>3000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IFERROR(__xludf.DUMMYFUNCTION("IMPORTRANGE(""https://docs.google.com/spreadsheets/d/1eHaY18a8A9IcSdp1K8H6x8fbOy06t2VsZHhMHf-1x7Y/edit?usp=sharing"",""แผน!AS21"")"),1500)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IFERROR(__xludf.DUMMYFUNCTION("IMPORTRANGE(""https://docs.google.com/spreadsheets/d/1eHaY18a8A9IcSdp1K8H6x8fbOy06t2VsZHhMHf-1x7Y/edit?usp=sharing"",""แผน!AT21"")"),0)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IFERROR(__xludf.DUMMYFUNCTION("IMPORTRANGE(""https://docs.google.com/spreadsheets/d/1eHaY18a8A9IcSdp1K8H6x8fbOy06t2VsZHhMHf-1x7Y/edit?usp=sharing"",""แผน!AV21"")"),20000)</f>
        <v>20000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IFERROR(__xludf.DUMMYFUNCTION("IMPORTRANGE(""https://docs.google.com/spreadsheets/d/1eHaY18a8A9IcSdp1K8H6x8fbOy06t2VsZHhMHf-1x7Y/edit?usp=sharing"",""แผน!AV21"")"),20000)</f>
        <v>20000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IFERROR(__xludf.DUMMYFUNCTION("IMPORTRANGE(""https://docs.google.com/spreadsheets/d/1eHaY18a8A9IcSdp1K8H6x8fbOy06t2VsZHhMHf-1x7Y/edit?usp=sharing"",""แผน!AU21"")"),0)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IFERROR(__xludf.DUMMYFUNCTION("IMPORTRANGE(""https://docs.google.com/spreadsheets/d/1eHaY18a8A9IcSdp1K8H6x8fbOy06t2VsZHhMHf-1x7Y/edit?usp=sharing"",""แผน!AX21"")"),0)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IFERROR(__xludf.DUMMYFUNCTION("IMPORTRANGE(""https://docs.google.com/spreadsheets/d/1eHaY18a8A9IcSdp1K8H6x8fbOy06t2VsZHhMHf-1x7Y/edit?usp=sharing"",""แผน!AY21"")"),0)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IFERROR(__xludf.DUMMYFUNCTION("IMPORTRANGE(""https://docs.google.com/spreadsheets/d/1eHaY18a8A9IcSdp1K8H6x8fbOy06t2VsZHhMHf-1x7Y/edit?usp=sharing"",""แผน!AZ21"")"),0)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IFERROR(__xludf.DUMMYFUNCTION("IMPORTRANGE(""https://docs.google.com/spreadsheets/d/1eHaY18a8A9IcSdp1K8H6x8fbOy06t2VsZHhMHf-1x7Y/edit?usp=sharing"",""แผน!BA21"")"),0)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IFERROR(__xludf.DUMMYFUNCTION("IMPORTRANGE(""https://docs.google.com/spreadsheets/d/1eHaY18a8A9IcSdp1K8H6x8fbOy06t2VsZHhMHf-1x7Y/edit?usp=sharing"",""แผน!BG21"")"),0)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IFERROR(__xludf.DUMMYFUNCTION("IMPORTRANGE(""https://docs.google.com/spreadsheets/d/1eHaY18a8A9IcSdp1K8H6x8fbOy06t2VsZHhMHf-1x7Y/edit?usp=sharing"",""แผน!BB21"")"),0)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IFERROR(__xludf.DUMMYFUNCTION("IMPORTRANGE(""https://docs.google.com/spreadsheets/d/1eHaY18a8A9IcSdp1K8H6x8fbOy06t2VsZHhMHf-1x7Y/edit?usp=sharing"",""แผน!BC21"")"),0)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IFERROR(__xludf.DUMMYFUNCTION("IMPORTRANGE(""https://docs.google.com/spreadsheets/d/1eHaY18a8A9IcSdp1K8H6x8fbOy06t2VsZHhMHf-1x7Y/edit?usp=sharing"",""แผน!BD21"")"),0)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IFERROR(__xludf.DUMMYFUNCTION("IMPORTRANGE(""https://docs.google.com/spreadsheets/d/1eHaY18a8A9IcSdp1K8H6x8fbOy06t2VsZHhMHf-1x7Y/edit?usp=sharing"",""แผน!BE21"")"),0)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IFERROR(__xludf.DUMMYFUNCTION("IMPORTRANGE(""https://docs.google.com/spreadsheets/d/1eHaY18a8A9IcSdp1K8H6x8fbOy06t2VsZHhMHf-1x7Y/edit?usp=sharing"",""แผน!BH21"")"),0)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IFERROR(__xludf.DUMMYFUNCTION("IMPORTRANGE(""https://docs.google.com/spreadsheets/d/1-uDff_7J0KD5mKrp0Vvzr7lt3OU09vwQwhkpOPPYv2Y/edit?usp=sharing"",""งบพรบ!DE21"")"),0)</f>
        <v>0</v>
      </c>
      <c r="M271" s="521">
        <f ca="1">IFERROR(__xludf.DUMMYFUNCTION("IMPORTRANGE(""https://docs.google.com/spreadsheets/d/1-uDff_7J0KD5mKrp0Vvzr7lt3OU09vwQwhkpOPPYv2Y/edit?usp=sharing"",""งบพรบ!DJ21"")"),0)</f>
        <v>0</v>
      </c>
      <c r="N271" s="521">
        <f ca="1">IFERROR(__xludf.DUMMYFUNCTION("IMPORTRANGE(""https://docs.google.com/spreadsheets/d/1-uDff_7J0KD5mKrp0Vvzr7lt3OU09vwQwhkpOPPYv2Y/edit?usp=sharing"",""งบพรบ!DL21"")"),0)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IFERROR(__xludf.DUMMYFUNCTION("IMPORTRANGE(""https://docs.google.com/spreadsheets/d/1-uDff_7J0KD5mKrp0Vvzr7lt3OU09vwQwhkpOPPYv2Y/edit?usp=sharing"",""งบพรบ!DH21"")"),0)</f>
        <v>0</v>
      </c>
      <c r="M274" s="521">
        <f ca="1">IFERROR(__xludf.DUMMYFUNCTION("IMPORTRANGE(""https://docs.google.com/spreadsheets/d/1-uDff_7J0KD5mKrp0Vvzr7lt3OU09vwQwhkpOPPYv2Y/edit?usp=sharing"",""งบพรบ!DK21"")"),0)</f>
        <v>0</v>
      </c>
      <c r="N274" s="521">
        <f ca="1">IFERROR(__xludf.DUMMYFUNCTION("IMPORTRANGE(""https://docs.google.com/spreadsheets/d/1-uDff_7J0KD5mKrp0Vvzr7lt3OU09vwQwhkpOPPYv2Y/edit?usp=sharing"",""งบพรบ!DM21"")"),0)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10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100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132320</v>
      </c>
      <c r="M282" s="577">
        <f ca="1">M283+M284</f>
        <v>98980</v>
      </c>
      <c r="N282" s="577">
        <f ca="1">N283+N284</f>
        <v>26876</v>
      </c>
      <c r="O282" s="577">
        <f ca="1">IF(L282&gt;0,N282*100/L282,0)</f>
        <v>20.311366384522369</v>
      </c>
      <c r="P282" s="577">
        <f ca="1">IF(M282&gt;0,N282*100/M282,0)</f>
        <v>27.152960193978583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132320</v>
      </c>
      <c r="M284" s="425">
        <f ca="1">M287+M290</f>
        <v>98980</v>
      </c>
      <c r="N284" s="425">
        <f ca="1">N287+N290</f>
        <v>26876</v>
      </c>
      <c r="O284" s="425">
        <f ca="1">IF(L284&gt;0,N284*100/L284,0)</f>
        <v>20.311366384522369</v>
      </c>
      <c r="P284" s="425">
        <f ca="1">IF(M284&gt;0,N284*100/M284,0)</f>
        <v>27.152960193978583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132320</v>
      </c>
      <c r="M285" s="425">
        <f ca="1">M286+M287</f>
        <v>98980</v>
      </c>
      <c r="N285" s="425">
        <f ca="1">N286+N287</f>
        <v>26876</v>
      </c>
      <c r="O285" s="425">
        <f ca="1">IF(L285&gt;0,N285*100/L285,0)</f>
        <v>20.311366384522369</v>
      </c>
      <c r="P285" s="425">
        <f ca="1">IF(M285&gt;0,N285*100/M285,0)</f>
        <v>27.152960193978583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IFERROR(__xludf.DUMMYFUNCTION("IMPORTRANGE(""https://docs.google.com/spreadsheets/d/1-uDff_7J0KD5mKrp0Vvzr7lt3OU09vwQwhkpOPPYv2Y/edit?usp=sharing"",""งบพรบ!DO21"")"),132320)</f>
        <v>132320</v>
      </c>
      <c r="M287" s="425">
        <f ca="1">IFERROR(__xludf.DUMMYFUNCTION("IMPORTRANGE(""https://docs.google.com/spreadsheets/d/1-uDff_7J0KD5mKrp0Vvzr7lt3OU09vwQwhkpOPPYv2Y/edit?usp=sharing"",""งบพรบ!DT21"")"),98980)</f>
        <v>98980</v>
      </c>
      <c r="N287" s="425">
        <f ca="1">IFERROR(__xludf.DUMMYFUNCTION("IMPORTRANGE(""https://docs.google.com/spreadsheets/d/1-uDff_7J0KD5mKrp0Vvzr7lt3OU09vwQwhkpOPPYv2Y/edit?usp=sharing"",""งบพรบ!DV21"")"),26876)</f>
        <v>26876</v>
      </c>
      <c r="O287" s="425">
        <f ca="1">IF(L287&gt;0,N287*100/L287,0)</f>
        <v>20.311366384522369</v>
      </c>
      <c r="P287" s="425">
        <f ca="1">IF(M287&gt;0,N287*100/M287,0)</f>
        <v>27.152960193978583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IFERROR(__xludf.DUMMYFUNCTION("IMPORTRANGE(""https://docs.google.com/spreadsheets/d/1-uDff_7J0KD5mKrp0Vvzr7lt3OU09vwQwhkpOPPYv2Y/edit?usp=sharing"",""งบพรบ!DR21"")"),0)</f>
        <v>0</v>
      </c>
      <c r="M290" s="425">
        <f ca="1">IFERROR(__xludf.DUMMYFUNCTION("IMPORTRANGE(""https://docs.google.com/spreadsheets/d/1-uDff_7J0KD5mKrp0Vvzr7lt3OU09vwQwhkpOPPYv2Y/edit?usp=sharing"",""งบพรบ!DU21"")"),0)</f>
        <v>0</v>
      </c>
      <c r="N290" s="425">
        <f ca="1">IFERROR(__xludf.DUMMYFUNCTION("IMPORTRANGE(""https://docs.google.com/spreadsheets/d/1-uDff_7J0KD5mKrp0Vvzr7lt3OU09vwQwhkpOPPYv2Y/edit?usp=sharing"",""งบพรบ!DW21"")"),0)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IFERROR(__xludf.DUMMYFUNCTION("IMPORTRANGE(""https://docs.google.com/spreadsheets/d/1eHaY18a8A9IcSdp1K8H6x8fbOy06t2VsZHhMHf-1x7Y/edit?usp=sharing"",""แผน!EE21"")"),100)</f>
        <v>100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IFERROR(__xludf.DUMMYFUNCTION("IMPORTRANGE(""https://docs.google.com/spreadsheets/d/1eHaY18a8A9IcSdp1K8H6x8fbOy06t2VsZHhMHf-1x7Y/edit?usp=sharing"",""แผน!ED21"")"),10)</f>
        <v>10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IFERROR(__xludf.DUMMYFUNCTION("IMPORTRANGE(""https://docs.google.com/spreadsheets/d/1eHaY18a8A9IcSdp1K8H6x8fbOy06t2VsZHhMHf-1x7Y/edit?usp=sharing"",""แผน!ED21"")"),10)</f>
        <v>10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IFERROR(__xludf.DUMMYFUNCTION("IMPORTRANGE(""https://docs.google.com/spreadsheets/d/1eHaY18a8A9IcSdp1K8H6x8fbOy06t2VsZHhMHf-1x7Y/edit?usp=sharing"",""แผน!ED21"")"),10)</f>
        <v>10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IFERROR(__xludf.DUMMYFUNCTION("IMPORTRANGE(""https://docs.google.com/spreadsheets/d/1-uDff_7J0KD5mKrp0Vvzr7lt3OU09vwQwhkpOPPYv2Y/edit?usp=sharing"",""งบพรบ!DY21"")"),0)</f>
        <v>0</v>
      </c>
      <c r="M308" s="425">
        <f ca="1">IFERROR(__xludf.DUMMYFUNCTION("IMPORTRANGE(""https://docs.google.com/spreadsheets/d/1-uDff_7J0KD5mKrp0Vvzr7lt3OU09vwQwhkpOPPYv2Y/edit?usp=sharing"",""งบพรบ!ED21"")"),0)</f>
        <v>0</v>
      </c>
      <c r="N308" s="425">
        <f ca="1">IFERROR(__xludf.DUMMYFUNCTION("IMPORTRANGE(""https://docs.google.com/spreadsheets/d/1-uDff_7J0KD5mKrp0Vvzr7lt3OU09vwQwhkpOPPYv2Y/edit?usp=sharing"",""งบพรบ!EF21"")"),0)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IFERROR(__xludf.DUMMYFUNCTION("IMPORTRANGE(""https://docs.google.com/spreadsheets/d/1-uDff_7J0KD5mKrp0Vvzr7lt3OU09vwQwhkpOPPYv2Y/edit?usp=sharing"",""งบพรบ!EB21"")"),0)</f>
        <v>0</v>
      </c>
      <c r="M311" s="425">
        <f ca="1">IFERROR(__xludf.DUMMYFUNCTION("IMPORTRANGE(""https://docs.google.com/spreadsheets/d/1-uDff_7J0KD5mKrp0Vvzr7lt3OU09vwQwhkpOPPYv2Y/edit?usp=sharing"",""งบพรบ!EE21"")"),0)</f>
        <v>0</v>
      </c>
      <c r="N311" s="425">
        <f ca="1">IFERROR(__xludf.DUMMYFUNCTION("IMPORTRANGE(""https://docs.google.com/spreadsheets/d/1-uDff_7J0KD5mKrp0Vvzr7lt3OU09vwQwhkpOPPYv2Y/edit?usp=sharing"",""งบพรบ!EG21"")"),0)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IFERROR(__xludf.DUMMYFUNCTION("IMPORTRANGE(""https://docs.google.com/spreadsheets/d/1eHaY18a8A9IcSdp1K8H6x8fbOy06t2VsZHhMHf-1x7Y/edit?usp=sharing"",""แผน!EF21"")"),0)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IFERROR(__xludf.DUMMYFUNCTION("IMPORTRANGE(""https://docs.google.com/spreadsheets/d/1eHaY18a8A9IcSdp1K8H6x8fbOy06t2VsZHhMHf-1x7Y/edit?usp=sharing"",""แผน!EG21"")"),0)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IFERROR(__xludf.DUMMYFUNCTION("IMPORTRANGE(""https://docs.google.com/spreadsheets/d/1eHaY18a8A9IcSdp1K8H6x8fbOy06t2VsZHhMHf-1x7Y/edit?usp=sharing"",""แผน!EH21"")"),0)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IFERROR(__xludf.DUMMYFUNCTION("IMPORTRANGE(""https://docs.google.com/spreadsheets/d/1eHaY18a8A9IcSdp1K8H6x8fbOy06t2VsZHhMHf-1x7Y/edit?usp=sharing"",""แผน!EI21"")"),0)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IFERROR(__xludf.DUMMYFUNCTION("IMPORTRANGE(""https://docs.google.com/spreadsheets/d/1-uDff_7J0KD5mKrp0Vvzr7lt3OU09vwQwhkpOPPYv2Y/edit?usp=sharing"",""งบพรบ!EI21"")"),0)</f>
        <v>0</v>
      </c>
      <c r="M325" s="425">
        <f ca="1">IFERROR(__xludf.DUMMYFUNCTION("IMPORTRANGE(""https://docs.google.com/spreadsheets/d/1-uDff_7J0KD5mKrp0Vvzr7lt3OU09vwQwhkpOPPYv2Y/edit?usp=sharing"",""งบพรบ!EN21"")"),0)</f>
        <v>0</v>
      </c>
      <c r="N325" s="425">
        <f ca="1">IFERROR(__xludf.DUMMYFUNCTION("IMPORTRANGE(""https://docs.google.com/spreadsheets/d/1-uDff_7J0KD5mKrp0Vvzr7lt3OU09vwQwhkpOPPYv2Y/edit?usp=sharing"",""งบพรบ!EP21"")"),0)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IFERROR(__xludf.DUMMYFUNCTION("IMPORTRANGE(""https://docs.google.com/spreadsheets/d/1-uDff_7J0KD5mKrp0Vvzr7lt3OU09vwQwhkpOPPYv2Y/edit?usp=sharing"",""งบพรบ!EL21"")"),0)</f>
        <v>0</v>
      </c>
      <c r="M328" s="425">
        <f ca="1">IFERROR(__xludf.DUMMYFUNCTION("IMPORTRANGE(""https://docs.google.com/spreadsheets/d/1-uDff_7J0KD5mKrp0Vvzr7lt3OU09vwQwhkpOPPYv2Y/edit?usp=sharing"",""งบพรบ!EO21"")"),0)</f>
        <v>0</v>
      </c>
      <c r="N328" s="425">
        <f ca="1">IFERROR(__xludf.DUMMYFUNCTION("IMPORTRANGE(""https://docs.google.com/spreadsheets/d/1-uDff_7J0KD5mKrp0Vvzr7lt3OU09vwQwhkpOPPYv2Y/edit?usp=sharing"",""งบพรบ!EQ21"")"),0)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IFERROR(__xludf.DUMMYFUNCTION("IMPORTRANGE(""https://docs.google.com/spreadsheets/d/1eHaY18a8A9IcSdp1K8H6x8fbOy06t2VsZHhMHf-1x7Y/edit?usp=sharing"",""แผน!EJ21"")"),0)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660</v>
      </c>
      <c r="J332" s="402">
        <f ca="1">J344+J347+J348+J349+J353</f>
        <v>695</v>
      </c>
      <c r="K332" s="403">
        <f ca="1">IF(I332&gt;0,J332*100/I332,0)</f>
        <v>105.3030303030303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103000</v>
      </c>
      <c r="M333" s="577">
        <f ca="1">M334+M335</f>
        <v>83350</v>
      </c>
      <c r="N333" s="577">
        <f ca="1">N334+N335</f>
        <v>39106.67</v>
      </c>
      <c r="O333" s="577">
        <f ca="1">IF(L333&gt;0,N333*100/L333,0)</f>
        <v>37.967640776699028</v>
      </c>
      <c r="P333" s="577">
        <f ca="1">IF(M333&gt;0,N333*100/M333,0)</f>
        <v>46.918620275944811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hidden="1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103000</v>
      </c>
      <c r="M335" s="425">
        <f ca="1">M338+M341</f>
        <v>83350</v>
      </c>
      <c r="N335" s="425">
        <f ca="1">N338+N341</f>
        <v>39106.67</v>
      </c>
      <c r="O335" s="425">
        <f ca="1">IF(L335&gt;0,N335*100/L335,0)</f>
        <v>37.967640776699028</v>
      </c>
      <c r="P335" s="425">
        <f ca="1">IF(M335&gt;0,N335*100/M335,0)</f>
        <v>46.918620275944811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103000</v>
      </c>
      <c r="M336" s="425">
        <f ca="1">M337+M338</f>
        <v>83350</v>
      </c>
      <c r="N336" s="425">
        <f ca="1">N337+N338</f>
        <v>39106.67</v>
      </c>
      <c r="O336" s="425">
        <f ca="1">IF(L336&gt;0,N336*100/L336,0)</f>
        <v>37.967640776699028</v>
      </c>
      <c r="P336" s="425">
        <f ca="1">IF(M336&gt;0,N336*100/M336,0)</f>
        <v>46.918620275944811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hidden="1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IFERROR(__xludf.DUMMYFUNCTION("IMPORTRANGE(""https://docs.google.com/spreadsheets/d/1-uDff_7J0KD5mKrp0Vvzr7lt3OU09vwQwhkpOPPYv2Y/edit?usp=sharing"",""งบพรบ!ES21"")"),103000)</f>
        <v>103000</v>
      </c>
      <c r="M338" s="425">
        <f ca="1">IFERROR(__xludf.DUMMYFUNCTION("IMPORTRANGE(""https://docs.google.com/spreadsheets/d/1-uDff_7J0KD5mKrp0Vvzr7lt3OU09vwQwhkpOPPYv2Y/edit?usp=sharing"",""งบพรบ!EX21"")"),83350)</f>
        <v>83350</v>
      </c>
      <c r="N338" s="425">
        <f ca="1">IFERROR(__xludf.DUMMYFUNCTION("IMPORTRANGE(""https://docs.google.com/spreadsheets/d/1-uDff_7J0KD5mKrp0Vvzr7lt3OU09vwQwhkpOPPYv2Y/edit?usp=sharing"",""งบพรบ!EZ21"")"),39106.67)</f>
        <v>39106.67</v>
      </c>
      <c r="O338" s="425">
        <f ca="1">IF(L338&gt;0,N338*100/L338,0)</f>
        <v>37.967640776699028</v>
      </c>
      <c r="P338" s="425">
        <f ca="1">IF(M338&gt;0,N338*100/M338,0)</f>
        <v>46.918620275944811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hidden="1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IFERROR(__xludf.DUMMYFUNCTION("IMPORTRANGE(""https://docs.google.com/spreadsheets/d/1-uDff_7J0KD5mKrp0Vvzr7lt3OU09vwQwhkpOPPYv2Y/edit?usp=sharing"",""งบพรบ!EV21"")"),0)</f>
        <v>0</v>
      </c>
      <c r="M341" s="425">
        <f ca="1">IFERROR(__xludf.DUMMYFUNCTION("IMPORTRANGE(""https://docs.google.com/spreadsheets/d/1-uDff_7J0KD5mKrp0Vvzr7lt3OU09vwQwhkpOPPYv2Y/edit?usp=sharing"",""งบพรบ!EY21"")"),0)</f>
        <v>0</v>
      </c>
      <c r="N341" s="425">
        <f ca="1">IFERROR(__xludf.DUMMYFUNCTION("IMPORTRANGE(""https://docs.google.com/spreadsheets/d/1-uDff_7J0KD5mKrp0Vvzr7lt3OU09vwQwhkpOPPYv2Y/edit?usp=sharing"",""งบพรบ!FA21"")"),0)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184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IFERROR(__xludf.DUMMYFUNCTION("IMPORTRANGE(""https://docs.google.com/spreadsheets/d/1eHaY18a8A9IcSdp1K8H6x8fbOy06t2VsZHhMHf-1x7Y/edit?usp=sharing"",""แผน!EK21"")"),660)</f>
        <v>660</v>
      </c>
      <c r="J344" s="424">
        <f ca="1">IFERROR(__xludf.DUMMYFUNCTION("IMPORTRANGE(""https://docs.google.com/spreadsheets/d/1awYsYK3VOup2i3Pq_Yjnu8DRu_mYwSBnCR2QPthd0rU/edit?usp=sharing"",""ศูนย์ยกเว้นโฉนด!D21"")"),110)</f>
        <v>110</v>
      </c>
      <c r="K344" s="425">
        <f ca="1">IF(I344&gt;0,J344*100/I344,0)</f>
        <v>16.666666666666668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IFERROR(__xludf.DUMMYFUNCTION("IMPORTRANGE(""https://docs.google.com/spreadsheets/d/1eHaY18a8A9IcSdp1K8H6x8fbOy06t2VsZHhMHf-1x7Y/edit?usp=sharing"",""แผน!EL21"")"),3)</f>
        <v>3</v>
      </c>
      <c r="J346" s="424">
        <f ca="1">IFERROR(__xludf.DUMMYFUNCTION("IMPORTRANGE(""https://docs.google.com/spreadsheets/d/1awYsYK3VOup2i3Pq_Yjnu8DRu_mYwSBnCR2QPthd0rU/edit?usp=sharing"",""ศูนย์รวม!E21"")"),0)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IFERROR(__xludf.DUMMYFUNCTION("IMPORTRANGE(""https://docs.google.com/spreadsheets/d/1awYsYK3VOup2i3Pq_Yjnu8DRu_mYwSBnCR2QPthd0rU/edit?usp=sharing"",""ศูนย์ยกเว้นโฉนด!F21"")"),73)</f>
        <v>73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IFERROR(__xludf.DUMMYFUNCTION("IMPORTRANGE(""https://docs.google.com/spreadsheets/d/1awYsYK3VOup2i3Pq_Yjnu8DRu_mYwSBnCR2QPthd0rU/edit?usp=sharing"",""ศูนย์ยกเว้นโฉนด!G21"")"),1)</f>
        <v>1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IFERROR(__xludf.DUMMYFUNCTION("IMPORTRANGE(""https://docs.google.com/spreadsheets/d/1awYsYK3VOup2i3Pq_Yjnu8DRu_mYwSBnCR2QPthd0rU/edit?usp=sharing"",""ศูนย์ยกเว้นโฉนด!H21"")"),0)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597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IFERROR(__xludf.DUMMYFUNCTION("IMPORTRANGE(""https://docs.google.com/spreadsheets/d/1awYsYK3VOup2i3Pq_Yjnu8DRu_mYwSBnCR2QPthd0rU/edit?usp=sharing"",""โฉนดM3!G21"")"),86)</f>
        <v>86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IFERROR(__xludf.DUMMYFUNCTION("IMPORTRANGE(""https://docs.google.com/spreadsheets/d/1awYsYK3VOup2i3Pq_Yjnu8DRu_mYwSBnCR2QPthd0rU/edit?usp=sharing"",""โฉนดM3!H21"")"),511)</f>
        <v>511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450035</v>
      </c>
      <c r="M356" s="577">
        <f ca="1">M357+M358</f>
        <v>352435</v>
      </c>
      <c r="N356" s="577">
        <f ca="1">N357+N358</f>
        <v>93773.32</v>
      </c>
      <c r="O356" s="577">
        <f ca="1">IF(L356&gt;0,N356*100/L356,0)</f>
        <v>20.836894908173807</v>
      </c>
      <c r="P356" s="577">
        <f ca="1">IF(M356&gt;0,N356*100/M356,0)</f>
        <v>26.607266588165192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hidden="1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450035</v>
      </c>
      <c r="M358" s="425">
        <f ca="1">M361+M364</f>
        <v>352435</v>
      </c>
      <c r="N358" s="425">
        <f ca="1">N361+N364</f>
        <v>93773.32</v>
      </c>
      <c r="O358" s="425">
        <f ca="1">IF(L358&gt;0,N358*100/L358,0)</f>
        <v>20.836894908173807</v>
      </c>
      <c r="P358" s="425">
        <f ca="1">IF(M358&gt;0,N358*100/M358,0)</f>
        <v>26.607266588165192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450035</v>
      </c>
      <c r="M359" s="425">
        <f ca="1">M360+M361</f>
        <v>352435</v>
      </c>
      <c r="N359" s="425">
        <f ca="1">N360+N361</f>
        <v>93773.32</v>
      </c>
      <c r="O359" s="425">
        <f ca="1">IF(L359&gt;0,N359*100/L359,0)</f>
        <v>20.836894908173807</v>
      </c>
      <c r="P359" s="425">
        <f ca="1">IF(M359&gt;0,N359*100/M359,0)</f>
        <v>26.607266588165192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hidden="1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IFERROR(__xludf.DUMMYFUNCTION("IMPORTRANGE(""https://docs.google.com/spreadsheets/d/1-uDff_7J0KD5mKrp0Vvzr7lt3OU09vwQwhkpOPPYv2Y/edit?usp=sharing"",""งบพรบ!FC21"")"),450035)</f>
        <v>450035</v>
      </c>
      <c r="M361" s="425">
        <f ca="1">IFERROR(__xludf.DUMMYFUNCTION("IMPORTRANGE(""https://docs.google.com/spreadsheets/d/1-uDff_7J0KD5mKrp0Vvzr7lt3OU09vwQwhkpOPPYv2Y/edit?usp=sharing"",""งบพรบ!FH21"")"),352435)</f>
        <v>352435</v>
      </c>
      <c r="N361" s="425">
        <f ca="1">IFERROR(__xludf.DUMMYFUNCTION("IMPORTRANGE(""https://docs.google.com/spreadsheets/d/1-uDff_7J0KD5mKrp0Vvzr7lt3OU09vwQwhkpOPPYv2Y/edit?usp=sharing"",""งบพรบ!FJ21"")"),93773.32)</f>
        <v>93773.32</v>
      </c>
      <c r="O361" s="425">
        <f ca="1">IF(L361&gt;0,N361*100/L361,0)</f>
        <v>20.836894908173807</v>
      </c>
      <c r="P361" s="425">
        <f ca="1">IF(M361&gt;0,N361*100/M361,0)</f>
        <v>26.607266588165192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hidden="1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IFERROR(__xludf.DUMMYFUNCTION("IMPORTRANGE(""https://docs.google.com/spreadsheets/d/1-uDff_7J0KD5mKrp0Vvzr7lt3OU09vwQwhkpOPPYv2Y/edit?usp=sharing"",""งบพรบ!FF21"")"),0)</f>
        <v>0</v>
      </c>
      <c r="M364" s="425">
        <f ca="1">IFERROR(__xludf.DUMMYFUNCTION("IMPORTRANGE(""https://docs.google.com/spreadsheets/d/1-uDff_7J0KD5mKrp0Vvzr7lt3OU09vwQwhkpOPPYv2Y/edit?usp=sharing"",""งบพรบ!FI21"")"),0)</f>
        <v>0</v>
      </c>
      <c r="N364" s="425">
        <f ca="1">IFERROR(__xludf.DUMMYFUNCTION("IMPORTRANGE(""https://docs.google.com/spreadsheets/d/1-uDff_7J0KD5mKrp0Vvzr7lt3OU09vwQwhkpOPPYv2Y/edit?usp=sharing"",""งบพรบ!FK21"")"),0)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100</v>
      </c>
      <c r="J365" s="438">
        <f ca="1">J371</f>
        <v>16</v>
      </c>
      <c r="K365" s="439">
        <f ca="1">IF(I365&gt;0,J365*100/I365,0)</f>
        <v>16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IFERROR(__xludf.DUMMYFUNCTION("IMPORTRANGE(""https://docs.google.com/spreadsheets/d/1tdoBKaGub7dwA3U6UFTqxio9LNnvDCQjHKmttSEBsFQ/edit?usp=sharing"",""จัดที่ดิน!AB21"")"),9)</f>
        <v>9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IFERROR(__xludf.DUMMYFUNCTION("IMPORTRANGE(""https://docs.google.com/spreadsheets/d/1eHaY18a8A9IcSdp1K8H6x8fbOy06t2VsZHhMHf-1x7Y/edit?usp=sharing"",""แผน!EW21"")"),775)</f>
        <v>775</v>
      </c>
      <c r="J368" s="565">
        <f ca="1">IFERROR(__xludf.DUMMYFUNCTION("IMPORTRANGE(""https://docs.google.com/spreadsheets/d/1tdoBKaGub7dwA3U6UFTqxio9LNnvDCQjHKmttSEBsFQ/edit?usp=sharing"",""จัดที่ดิน!AC21"")"),76.11)</f>
        <v>76.11</v>
      </c>
      <c r="K368" s="425">
        <f ca="1">IF(I368&gt;0,J368*100/I368,0)</f>
        <v>9.8206451612903223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IFERROR(__xludf.DUMMYFUNCTION("IMPORTRANGE(""https://docs.google.com/spreadsheets/d/1eHaY18a8A9IcSdp1K8H6x8fbOy06t2VsZHhMHf-1x7Y/edit?usp=sharing"",""แผน!EX21"")"),152)</f>
        <v>152</v>
      </c>
      <c r="J369" s="424">
        <f ca="1">IFERROR(__xludf.DUMMYFUNCTION("IMPORTRANGE(""https://docs.google.com/spreadsheets/d/1tdoBKaGub7dwA3U6UFTqxio9LNnvDCQjHKmttSEBsFQ/edit?usp=sharing"",""จัดที่ดิน!AD21"")"),21)</f>
        <v>21</v>
      </c>
      <c r="K369" s="425">
        <f ca="1">IF(I369&gt;0,J369*100/I369,0)</f>
        <v>13.815789473684211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IFERROR(__xludf.DUMMYFUNCTION("IMPORTRANGE(""https://docs.google.com/spreadsheets/d/1tdoBKaGub7dwA3U6UFTqxio9LNnvDCQjHKmttSEBsFQ/edit?usp=sharing"",""จัดที่ดิน!AE21"")"),312.64)</f>
        <v>312.64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IFERROR(__xludf.DUMMYFUNCTION("IMPORTRANGE(""https://docs.google.com/spreadsheets/d/1eHaY18a8A9IcSdp1K8H6x8fbOy06t2VsZHhMHf-1x7Y/edit?usp=sharing"",""แผน!EY21"")"),100)</f>
        <v>100</v>
      </c>
      <c r="J371" s="424">
        <f ca="1">IFERROR(__xludf.DUMMYFUNCTION("IMPORTRANGE(""https://docs.google.com/spreadsheets/d/1tdoBKaGub7dwA3U6UFTqxio9LNnvDCQjHKmttSEBsFQ/edit?usp=sharing"",""จัดที่ดิน!AF21"")"),16)</f>
        <v>16</v>
      </c>
      <c r="K371" s="425">
        <f ca="1">IF(I371&gt;0,J371*100/I371,0)</f>
        <v>16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IFERROR(__xludf.DUMMYFUNCTION("IMPORTRANGE(""https://docs.google.com/spreadsheets/d/1tdoBKaGub7dwA3U6UFTqxio9LNnvDCQjHKmttSEBsFQ/edit?usp=sharing"",""จัดที่ดิน!AG21"")"),291.02)</f>
        <v>291.02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IFERROR(__xludf.DUMMYFUNCTION("IMPORTRANGE(""https://docs.google.com/spreadsheets/d/1-uDff_7J0KD5mKrp0Vvzr7lt3OU09vwQwhkpOPPYv2Y/edit?usp=sharing"",""งบพรบ!FM21"")"),0)</f>
        <v>0</v>
      </c>
      <c r="M382" s="521">
        <f ca="1">IFERROR(__xludf.DUMMYFUNCTION("IMPORTRANGE(""https://docs.google.com/spreadsheets/d/1-uDff_7J0KD5mKrp0Vvzr7lt3OU09vwQwhkpOPPYv2Y/edit?usp=sharing"",""งบพรบ!FR21"")"),0)</f>
        <v>0</v>
      </c>
      <c r="N382" s="521">
        <f ca="1">IFERROR(__xludf.DUMMYFUNCTION("IMPORTRANGE(""https://docs.google.com/spreadsheets/d/1-uDff_7J0KD5mKrp0Vvzr7lt3OU09vwQwhkpOPPYv2Y/edit?usp=sharing"",""งบพรบ!FT21"")"),0)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IFERROR(__xludf.DUMMYFUNCTION("IMPORTRANGE(""https://docs.google.com/spreadsheets/d/1-uDff_7J0KD5mKrp0Vvzr7lt3OU09vwQwhkpOPPYv2Y/edit?usp=sharing"",""งบพรบ!FP21"")"),0)</f>
        <v>0</v>
      </c>
      <c r="M385" s="521">
        <f ca="1">IFERROR(__xludf.DUMMYFUNCTION("IMPORTRANGE(""https://docs.google.com/spreadsheets/d/1-uDff_7J0KD5mKrp0Vvzr7lt3OU09vwQwhkpOPPYv2Y/edit?usp=sharing"",""งบพรบ!FS21"")"),0)</f>
        <v>0</v>
      </c>
      <c r="N385" s="521">
        <f ca="1">IFERROR(__xludf.DUMMYFUNCTION("IMPORTRANGE(""https://docs.google.com/spreadsheets/d/1-uDff_7J0KD5mKrp0Vvzr7lt3OU09vwQwhkpOPPYv2Y/edit?usp=sharing"",""งบพรบ!FU21"")"),0)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hidden="1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7E59D-977A-4C0E-94FA-971AB0D4BE9E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173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1901015</v>
      </c>
      <c r="M18" s="704">
        <f ca="1">M19+M20</f>
        <v>1528075</v>
      </c>
      <c r="N18" s="704">
        <f ca="1">N19+N20</f>
        <v>659144.53</v>
      </c>
      <c r="O18" s="704">
        <f ca="1">IF(L18&gt;0,N18*100/L18,0)</f>
        <v>34.673294529501348</v>
      </c>
      <c r="P18" s="704">
        <f ca="1">IF(M18&gt;0,N18*100/M18,0)</f>
        <v>43.135613762413492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1901015</v>
      </c>
      <c r="M20" s="817">
        <f ca="1">M23+M26</f>
        <v>1528075</v>
      </c>
      <c r="N20" s="817">
        <f ca="1">N23+N26</f>
        <v>659144.53</v>
      </c>
      <c r="O20" s="817">
        <f ca="1">IF(L20&gt;0,N20*100/L20,0)</f>
        <v>34.673294529501348</v>
      </c>
      <c r="P20" s="817">
        <f ca="1">IF(M20&gt;0,N20*100/M20,0)</f>
        <v>43.135613762413492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1901015</v>
      </c>
      <c r="M21" s="425">
        <f ca="1">M22+M23</f>
        <v>1528075</v>
      </c>
      <c r="N21" s="425">
        <f ca="1">N22+N23</f>
        <v>659144.53</v>
      </c>
      <c r="O21" s="425">
        <f ca="1">IF(L21&gt;0,N21*100/L21,0)</f>
        <v>34.673294529501348</v>
      </c>
      <c r="P21" s="425">
        <f ca="1">IF(M21&gt;0,N21*100/M21,0)</f>
        <v>43.135613762413492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1901015</v>
      </c>
      <c r="M23" s="425">
        <f ca="1">M49+M64+M77+M99+M130+M144+M162+M191+M178+M271+M287+M308+M325+M338+M361+M382</f>
        <v>1528075</v>
      </c>
      <c r="N23" s="425">
        <f ca="1">N49+N64+N77+N99+N130+N144+N162+N191+N178+N271+N287+N308+N325+N338+N361+N382</f>
        <v>659144.53</v>
      </c>
      <c r="O23" s="425">
        <f ca="1">IF(L23&gt;0,N23*100/L23,0)</f>
        <v>34.673294529501348</v>
      </c>
      <c r="P23" s="425">
        <f ca="1">IF(M23&gt;0,N23*100/M23,0)</f>
        <v>43.135613762413492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1901015</v>
      </c>
      <c r="M40" s="809">
        <f ca="1">M44+M59+M72+M94+M125+M139+M157+M173+M186+M266+M282+M303+M320+M333+M356</f>
        <v>1528075</v>
      </c>
      <c r="N40" s="809">
        <f ca="1">N44+N59+N72+N94+N125+N139+N157+N173+N186+N266+N282+N303+N320+N333+N356</f>
        <v>659144.53</v>
      </c>
      <c r="O40" s="809">
        <f ca="1">IF(L40&gt;0,N40*100/L40,0)</f>
        <v>34.673294529501348</v>
      </c>
      <c r="P40" s="809">
        <f ca="1">IF(M40&gt;0,N40*100/M40,0)</f>
        <v>43.135613762413492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300800</v>
      </c>
      <c r="M44" s="794">
        <f ca="1">M45+M46</f>
        <v>309800</v>
      </c>
      <c r="N44" s="794">
        <f ca="1">N45+N46</f>
        <v>131150</v>
      </c>
      <c r="O44" s="794">
        <f ca="1">IF(L44&gt;0,N44*100/L44,0)</f>
        <v>43.600398936170215</v>
      </c>
      <c r="P44" s="794">
        <f ca="1">IF(M44&gt;0,N44*100/M44,0)</f>
        <v>42.333763718528083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300800</v>
      </c>
      <c r="M46" s="783">
        <f ca="1">M49+M52</f>
        <v>309800</v>
      </c>
      <c r="N46" s="783">
        <f ca="1">N49+N52</f>
        <v>131150</v>
      </c>
      <c r="O46" s="783">
        <f ca="1">IF(L46&gt;0,N46*100/L46,0)</f>
        <v>43.600398936170215</v>
      </c>
      <c r="P46" s="783">
        <f ca="1">IF(M46&gt;0,N46*100/M46,0)</f>
        <v>42.333763718528083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300800</v>
      </c>
      <c r="M47" s="425">
        <f ca="1">M48+M49</f>
        <v>309800</v>
      </c>
      <c r="N47" s="425">
        <f ca="1">N48+N49</f>
        <v>131150</v>
      </c>
      <c r="O47" s="425">
        <f ca="1">IF(L47&gt;0,N47*100/L47,0)</f>
        <v>43.600398936170215</v>
      </c>
      <c r="P47" s="425">
        <f ca="1">IF(M47&gt;0,N47*100/M47,0)</f>
        <v>42.333763718528083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IFERROR(__xludf.DUMMYFUNCTION("IMPORTRANGE(""https://docs.google.com/spreadsheets/d/1-uDff_7J0KD5mKrp0Vvzr7lt3OU09vwQwhkpOPPYv2Y/edit?usp=sharing"",""งบพรบ!P22"")"),300800)</f>
        <v>300800</v>
      </c>
      <c r="M49" s="425">
        <f ca="1">IFERROR(__xludf.DUMMYFUNCTION("IMPORTRANGE(""https://docs.google.com/spreadsheets/d/1-uDff_7J0KD5mKrp0Vvzr7lt3OU09vwQwhkpOPPYv2Y/edit?usp=sharing"",""งบพรบ!V22"")"),309800)</f>
        <v>309800</v>
      </c>
      <c r="N49" s="425">
        <f ca="1">IFERROR(__xludf.DUMMYFUNCTION("IMPORTRANGE(""https://docs.google.com/spreadsheets/d/1-uDff_7J0KD5mKrp0Vvzr7lt3OU09vwQwhkpOPPYv2Y/edit?usp=sharing"",""งบพรบ!Y22"")"),131150)</f>
        <v>131150</v>
      </c>
      <c r="O49" s="425">
        <f ca="1">IF(L49&gt;0,N49*100/L49,0)</f>
        <v>43.600398936170215</v>
      </c>
      <c r="P49" s="425">
        <f ca="1">IF(M49&gt;0,N49*100/M49,0)</f>
        <v>42.333763718528083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IFERROR(__xludf.DUMMYFUNCTION("IMPORTRANGE(""https://docs.google.com/spreadsheets/d/1-uDff_7J0KD5mKrp0Vvzr7lt3OU09vwQwhkpOPPYv2Y/edit?usp=sharing"",""งบพรบ!S22"")"),0)</f>
        <v>0</v>
      </c>
      <c r="M52" s="425">
        <f ca="1">IFERROR(__xludf.DUMMYFUNCTION("IMPORTRANGE(""https://docs.google.com/spreadsheets/d/1-uDff_7J0KD5mKrp0Vvzr7lt3OU09vwQwhkpOPPYv2Y/edit?usp=sharing"",""งบพรบ!W22"")"),0)</f>
        <v>0</v>
      </c>
      <c r="N52" s="425">
        <f ca="1">IFERROR(__xludf.DUMMYFUNCTION("IMPORTRANGE(""https://docs.google.com/spreadsheets/d/1-uDff_7J0KD5mKrp0Vvzr7lt3OU09vwQwhkpOPPYv2Y/edit?usp=sharing"",""งบพรบ!Z22"")"),0)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702500</v>
      </c>
      <c r="M59" s="763">
        <f ca="1">M60+M61</f>
        <v>529050</v>
      </c>
      <c r="N59" s="763">
        <f ca="1">N60+N61</f>
        <v>386840.03</v>
      </c>
      <c r="O59" s="763">
        <f ca="1">IF(L59&gt;0,N59*100/L59,0)</f>
        <v>55.066196441281136</v>
      </c>
      <c r="P59" s="763">
        <f ca="1">IF(M59&gt;0,N59*100/M59,0)</f>
        <v>73.119748605991873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hidden="1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702500</v>
      </c>
      <c r="M61" s="752">
        <f ca="1">M64+M67</f>
        <v>529050</v>
      </c>
      <c r="N61" s="752">
        <f ca="1">N64+N67</f>
        <v>386840.03</v>
      </c>
      <c r="O61" s="752">
        <f ca="1">IF(L61&gt;0,N61*100/L61,0)</f>
        <v>55.066196441281136</v>
      </c>
      <c r="P61" s="752">
        <f ca="1">IF(M61&gt;0,N61*100/M61,0)</f>
        <v>73.119748605991873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702500</v>
      </c>
      <c r="M62" s="425">
        <f ca="1">M63+M64</f>
        <v>529050</v>
      </c>
      <c r="N62" s="425">
        <f ca="1">N63+N64</f>
        <v>386840.03</v>
      </c>
      <c r="O62" s="425">
        <f ca="1">IF(L62&gt;0,N62*100/L62,0)</f>
        <v>55.066196441281136</v>
      </c>
      <c r="P62" s="425">
        <f ca="1">IF(M62&gt;0,N62*100/M62,0)</f>
        <v>73.119748605991873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IFERROR(__xludf.DUMMYFUNCTION("IMPORTRANGE(""https://docs.google.com/spreadsheets/d/1-uDff_7J0KD5mKrp0Vvzr7lt3OU09vwQwhkpOPPYv2Y/edit?usp=sharing"",""งบพรบ!AC22"")"),702500)</f>
        <v>702500</v>
      </c>
      <c r="M64" s="425">
        <f ca="1">IFERROR(__xludf.DUMMYFUNCTION("IMPORTRANGE(""https://docs.google.com/spreadsheets/d/1-uDff_7J0KD5mKrp0Vvzr7lt3OU09vwQwhkpOPPYv2Y/edit?usp=sharing"",""งบพรบ!AH22"")"),529050)</f>
        <v>529050</v>
      </c>
      <c r="N64" s="425">
        <f ca="1">IFERROR(__xludf.DUMMYFUNCTION("IMPORTRANGE(""https://docs.google.com/spreadsheets/d/1-uDff_7J0KD5mKrp0Vvzr7lt3OU09vwQwhkpOPPYv2Y/edit?usp=sharing"",""งบพรบ!AJ22"")"),386840.03)</f>
        <v>386840.03</v>
      </c>
      <c r="O64" s="425">
        <f ca="1">IF(L64&gt;0,N64*100/L64,0)</f>
        <v>55.066196441281136</v>
      </c>
      <c r="P64" s="425">
        <f ca="1">IF(M64&gt;0,N64*100/M64,0)</f>
        <v>73.119748605991873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IFERROR(__xludf.DUMMYFUNCTION("IMPORTRANGE(""https://docs.google.com/spreadsheets/d/1-uDff_7J0KD5mKrp0Vvzr7lt3OU09vwQwhkpOPPYv2Y/edit?usp=sharing"",""งบพรบ!AF22"")"),0)</f>
        <v>0</v>
      </c>
      <c r="M67" s="747">
        <f ca="1">IFERROR(__xludf.DUMMYFUNCTION("IMPORTRANGE(""https://docs.google.com/spreadsheets/d/1-uDff_7J0KD5mKrp0Vvzr7lt3OU09vwQwhkpOPPYv2Y/edit?usp=sharing"",""งบพรบ!AI22"")"),0)</f>
        <v>0</v>
      </c>
      <c r="N67" s="747">
        <f ca="1">IFERROR(__xludf.DUMMYFUNCTION("IMPORTRANGE(""https://docs.google.com/spreadsheets/d/1-uDff_7J0KD5mKrp0Vvzr7lt3OU09vwQwhkpOPPYv2Y/edit?usp=sharing"",""งบพรบ!AK22"")"),0)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IFERROR(__xludf.DUMMYFUNCTION("IMPORTRANGE(""https://docs.google.com/spreadsheets/d/1-uDff_7J0KD5mKrp0Vvzr7lt3OU09vwQwhkpOPPYv2Y/edit?usp=sharing"",""งบพรบ!AM22"")"),0)</f>
        <v>0</v>
      </c>
      <c r="M77" s="425">
        <f ca="1">IFERROR(__xludf.DUMMYFUNCTION("IMPORTRANGE(""https://docs.google.com/spreadsheets/d/1-uDff_7J0KD5mKrp0Vvzr7lt3OU09vwQwhkpOPPYv2Y/edit?usp=sharing"",""งบพรบ!AR22"")"),0)</f>
        <v>0</v>
      </c>
      <c r="N77" s="425">
        <f ca="1">IFERROR(__xludf.DUMMYFUNCTION("IMPORTRANGE(""https://docs.google.com/spreadsheets/d/1-uDff_7J0KD5mKrp0Vvzr7lt3OU09vwQwhkpOPPYv2Y/edit?usp=sharing"",""งบพรบ!AT22"")"),0)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IFERROR(__xludf.DUMMYFUNCTION("IMPORTRANGE(""https://docs.google.com/spreadsheets/d/1-uDff_7J0KD5mKrp0Vvzr7lt3OU09vwQwhkpOPPYv2Y/edit?usp=sharing"",""งบพรบ!AP22"")"),0)</f>
        <v>0</v>
      </c>
      <c r="M80" s="425">
        <f ca="1">IFERROR(__xludf.DUMMYFUNCTION("IMPORTRANGE(""https://docs.google.com/spreadsheets/d/1-uDff_7J0KD5mKrp0Vvzr7lt3OU09vwQwhkpOPPYv2Y/edit?usp=sharing"",""งบพรบ!AS22"")"),0)</f>
        <v>0</v>
      </c>
      <c r="N80" s="425">
        <f ca="1">IFERROR(__xludf.DUMMYFUNCTION("IMPORTRANGE(""https://docs.google.com/spreadsheets/d/1-uDff_7J0KD5mKrp0Vvzr7lt3OU09vwQwhkpOPPYv2Y/edit?usp=sharing"",""งบพรบ!AU22"")"),0)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IFERROR(__xludf.DUMMYFUNCTION("IMPORTRANGE(""https://docs.google.com/spreadsheets/d/1eHaY18a8A9IcSdp1K8H6x8fbOy06t2VsZHhMHf-1x7Y/edit?usp=sharing"",""แผน!H22"")"),0)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IFERROR(__xludf.DUMMYFUNCTION("IMPORTRANGE(""https://docs.google.com/spreadsheets/d/1eHaY18a8A9IcSdp1K8H6x8fbOy06t2VsZHhMHf-1x7Y/edit?usp=sharing"",""แผน!I22"")"),0)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IFERROR(__xludf.DUMMYFUNCTION("IMPORTRANGE(""https://docs.google.com/spreadsheets/d/1eHaY18a8A9IcSdp1K8H6x8fbOy06t2VsZHhMHf-1x7Y/edit?usp=sharing"",""แผน!F22"")"),0)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IFERROR(__xludf.DUMMYFUNCTION("IMPORTRANGE(""https://docs.google.com/spreadsheets/d/1eHaY18a8A9IcSdp1K8H6x8fbOy06t2VsZHhMHf-1x7Y/edit?usp=sharing"",""แผน!G22"")"),0)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IFERROR(__xludf.DUMMYFUNCTION("IMPORTRANGE(""https://docs.google.com/spreadsheets/d/1eHaY18a8A9IcSdp1K8H6x8fbOy06t2VsZHhMHf-1x7Y/edit?usp=sharing"",""แผน!D22"")"),0)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IFERROR(__xludf.DUMMYFUNCTION("IMPORTRANGE(""https://docs.google.com/spreadsheets/d/1eHaY18a8A9IcSdp1K8H6x8fbOy06t2VsZHhMHf-1x7Y/edit?usp=sharing"",""แผน!E22"")"),0)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IFERROR(__xludf.DUMMYFUNCTION("IMPORTRANGE(""https://docs.google.com/spreadsheets/d/1eHaY18a8A9IcSdp1K8H6x8fbOy06t2VsZHhMHf-1x7Y/edit?usp=sharing"",""แผน!J22"")"),0)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IFERROR(__xludf.DUMMYFUNCTION("IMPORTRANGE(""https://docs.google.com/spreadsheets/d/1-uDff_7J0KD5mKrp0Vvzr7lt3OU09vwQwhkpOPPYv2Y/edit?usp=sharing"",""งบพรบ!AW22"")"),0)</f>
        <v>0</v>
      </c>
      <c r="M99" s="425">
        <f ca="1">IFERROR(__xludf.DUMMYFUNCTION("IMPORTRANGE(""https://docs.google.com/spreadsheets/d/1-uDff_7J0KD5mKrp0Vvzr7lt3OU09vwQwhkpOPPYv2Y/edit?usp=sharing"",""งบพรบ!BB22"")"),0)</f>
        <v>0</v>
      </c>
      <c r="N99" s="425">
        <f ca="1">IFERROR(__xludf.DUMMYFUNCTION("IMPORTRANGE(""https://docs.google.com/spreadsheets/d/1-uDff_7J0KD5mKrp0Vvzr7lt3OU09vwQwhkpOPPYv2Y/edit?usp=sharing"",""งบพรบ!BD22"")"),0)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IFERROR(__xludf.DUMMYFUNCTION("IMPORTRANGE(""https://docs.google.com/spreadsheets/d/1-uDff_7J0KD5mKrp0Vvzr7lt3OU09vwQwhkpOPPYv2Y/edit?usp=sharing"",""งบพรบ!AZ22"")"),0)</f>
        <v>0</v>
      </c>
      <c r="M102" s="425">
        <f ca="1">IFERROR(__xludf.DUMMYFUNCTION("IMPORTRANGE(""https://docs.google.com/spreadsheets/d/1-uDff_7J0KD5mKrp0Vvzr7lt3OU09vwQwhkpOPPYv2Y/edit?usp=sharing"",""งบพรบ!BC22"")"),0)</f>
        <v>0</v>
      </c>
      <c r="N102" s="425">
        <f ca="1">IFERROR(__xludf.DUMMYFUNCTION("IMPORTRANGE(""https://docs.google.com/spreadsheets/d/1-uDff_7J0KD5mKrp0Vvzr7lt3OU09vwQwhkpOPPYv2Y/edit?usp=sharing"",""งบพรบ!BE22"")"),0)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IFERROR(__xludf.DUMMYFUNCTION("IMPORTRANGE(""https://docs.google.com/spreadsheets/d/1eHaY18a8A9IcSdp1K8H6x8fbOy06t2VsZHhMHf-1x7Y/edit?usp=sharing"",""แผน!N22"")"),0)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IFERROR(__xludf.DUMMYFUNCTION("IMPORTRANGE(""https://docs.google.com/spreadsheets/d/1eHaY18a8A9IcSdp1K8H6x8fbOy06t2VsZHhMHf-1x7Y/edit?usp=sharing"",""แผน!O22"")"),0)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IFERROR(__xludf.DUMMYFUNCTION("IMPORTRANGE(""https://docs.google.com/spreadsheets/d/1eHaY18a8A9IcSdp1K8H6x8fbOy06t2VsZHhMHf-1x7Y/edit?usp=sharing"",""แผน!R22"")"),0)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IFERROR(__xludf.DUMMYFUNCTION("IMPORTRANGE(""https://docs.google.com/spreadsheets/d/1-uDff_7J0KD5mKrp0Vvzr7lt3OU09vwQwhkpOPPYv2Y/edit?usp=sharing"",""งบพรบ!BG22"")"),0)</f>
        <v>0</v>
      </c>
      <c r="M130" s="723">
        <f ca="1">IFERROR(__xludf.DUMMYFUNCTION("IMPORTRANGE(""https://docs.google.com/spreadsheets/d/1-uDff_7J0KD5mKrp0Vvzr7lt3OU09vwQwhkpOPPYv2Y/edit?usp=sharing"",""งบพรบ!BL22"")"),0)</f>
        <v>0</v>
      </c>
      <c r="N130" s="723">
        <f ca="1">IFERROR(__xludf.DUMMYFUNCTION("IMPORTRANGE(""https://docs.google.com/spreadsheets/d/1-uDff_7J0KD5mKrp0Vvzr7lt3OU09vwQwhkpOPPYv2Y/edit?usp=sharing"",""งบพรบ!BN22"")"),0)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IFERROR(__xludf.DUMMYFUNCTION("IMPORTRANGE(""https://docs.google.com/spreadsheets/d/1-uDff_7J0KD5mKrp0Vvzr7lt3OU09vwQwhkpOPPYv2Y/edit?usp=sharing"",""งบพรบ!BJ22"")"),0)</f>
        <v>0</v>
      </c>
      <c r="M133" s="723">
        <f ca="1">IFERROR(__xludf.DUMMYFUNCTION("IMPORTRANGE(""https://docs.google.com/spreadsheets/d/1-uDff_7J0KD5mKrp0Vvzr7lt3OU09vwQwhkpOPPYv2Y/edit?usp=sharing"",""งบพรบ!BM22"")"),0)</f>
        <v>0</v>
      </c>
      <c r="N133" s="723">
        <f ca="1">IFERROR(__xludf.DUMMYFUNCTION("IMPORTRANGE(""https://docs.google.com/spreadsheets/d/1-uDff_7J0KD5mKrp0Vvzr7lt3OU09vwQwhkpOPPYv2Y/edit?usp=sharing"",""งบพรบ!BO22"")"),0)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IFERROR(__xludf.DUMMYFUNCTION("IMPORTRANGE(""https://docs.google.com/spreadsheets/d/1-uDff_7J0KD5mKrp0Vvzr7lt3OU09vwQwhkpOPPYv2Y/edit?usp=sharing"",""งบพรบ!BQ22"")"),0)</f>
        <v>0</v>
      </c>
      <c r="M144" s="425">
        <f ca="1">IFERROR(__xludf.DUMMYFUNCTION("IMPORTRANGE(""https://docs.google.com/spreadsheets/d/1-uDff_7J0KD5mKrp0Vvzr7lt3OU09vwQwhkpOPPYv2Y/edit?usp=sharing"",""งบพรบ!BV22"")"),0)</f>
        <v>0</v>
      </c>
      <c r="N144" s="425">
        <f ca="1">IFERROR(__xludf.DUMMYFUNCTION("IMPORTRANGE(""https://docs.google.com/spreadsheets/d/1-uDff_7J0KD5mKrp0Vvzr7lt3OU09vwQwhkpOPPYv2Y/edit?usp=sharing"",""งบพรบ!BX22"")"),0)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IFERROR(__xludf.DUMMYFUNCTION("IMPORTRANGE(""https://docs.google.com/spreadsheets/d/1-uDff_7J0KD5mKrp0Vvzr7lt3OU09vwQwhkpOPPYv2Y/edit?usp=sharing"",""งบพรบ!BT22"")"),0)</f>
        <v>0</v>
      </c>
      <c r="M147" s="425">
        <f ca="1">IFERROR(__xludf.DUMMYFUNCTION("IMPORTRANGE(""https://docs.google.com/spreadsheets/d/1-uDff_7J0KD5mKrp0Vvzr7lt3OU09vwQwhkpOPPYv2Y/edit?usp=sharing"",""งบพรบ!BW22"")"),0)</f>
        <v>0</v>
      </c>
      <c r="N147" s="425">
        <f ca="1">IFERROR(__xludf.DUMMYFUNCTION("IMPORTRANGE(""https://docs.google.com/spreadsheets/d/1-uDff_7J0KD5mKrp0Vvzr7lt3OU09vwQwhkpOPPYv2Y/edit?usp=sharing"",""งบพรบ!BY22"")"),0)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IFERROR(__xludf.DUMMYFUNCTION("IMPORTRANGE(""https://docs.google.com/spreadsheets/d/1eHaY18a8A9IcSdp1K8H6x8fbOy06t2VsZHhMHf-1x7Y/edit?usp=sharing"",""แผน!U22"")"),0)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IFERROR(__xludf.DUMMYFUNCTION("IMPORTRANGE(""https://docs.google.com/spreadsheets/d/1eHaY18a8A9IcSdp1K8H6x8fbOy06t2VsZHhMHf-1x7Y/edit?usp=sharing"",""แผน!V22"")"),0)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IFERROR(__xludf.DUMMYFUNCTION("IMPORTRANGE(""https://docs.google.com/spreadsheets/d/1eHaY18a8A9IcSdp1K8H6x8fbOy06t2VsZHhMHf-1x7Y/edit?usp=sharing"",""แผน!W22"")"),0)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IFERROR(__xludf.DUMMYFUNCTION("IMPORTRANGE(""https://docs.google.com/spreadsheets/d/1eHaY18a8A9IcSdp1K8H6x8fbOy06t2VsZHhMHf-1x7Y/edit?usp=sharing"",""แผน!X22"")"),0)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IFERROR(__xludf.DUMMYFUNCTION("IMPORTRANGE(""https://docs.google.com/spreadsheets/d/1eHaY18a8A9IcSdp1K8H6x8fbOy06t2VsZHhMHf-1x7Y/edit?usp=sharing"",""แผน!Y22"")"),0)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IFERROR(__xludf.DUMMYFUNCTION("IMPORTRANGE(""https://docs.google.com/spreadsheets/d/1-uDff_7J0KD5mKrp0Vvzr7lt3OU09vwQwhkpOPPYv2Y/edit?usp=sharing"",""งบพรบ!CA22"")"),0)</f>
        <v>0</v>
      </c>
      <c r="M162" s="425">
        <f ca="1">IFERROR(__xludf.DUMMYFUNCTION("IMPORTRANGE(""https://docs.google.com/spreadsheets/d/1-uDff_7J0KD5mKrp0Vvzr7lt3OU09vwQwhkpOPPYv2Y/edit?usp=sharing"",""งบพรบ!CF22"")"),0)</f>
        <v>0</v>
      </c>
      <c r="N162" s="425">
        <f ca="1">IFERROR(__xludf.DUMMYFUNCTION("IMPORTRANGE(""https://docs.google.com/spreadsheets/d/1-uDff_7J0KD5mKrp0Vvzr7lt3OU09vwQwhkpOPPYv2Y/edit?usp=sharing"",""งบพรบ!CH22"")"),0)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IFERROR(__xludf.DUMMYFUNCTION("IMPORTRANGE(""https://docs.google.com/spreadsheets/d/1-uDff_7J0KD5mKrp0Vvzr7lt3OU09vwQwhkpOPPYv2Y/edit?usp=sharing"",""งบพรบ!CD22"")"),0)</f>
        <v>0</v>
      </c>
      <c r="M165" s="425">
        <f ca="1">IFERROR(__xludf.DUMMYFUNCTION("IMPORTRANGE(""https://docs.google.com/spreadsheets/d/1-uDff_7J0KD5mKrp0Vvzr7lt3OU09vwQwhkpOPPYv2Y/edit?usp=sharing"",""งบพรบ!CG22"")"),0)</f>
        <v>0</v>
      </c>
      <c r="N165" s="425">
        <f ca="1">IFERROR(__xludf.DUMMYFUNCTION("IMPORTRANGE(""https://docs.google.com/spreadsheets/d/1-uDff_7J0KD5mKrp0Vvzr7lt3OU09vwQwhkpOPPYv2Y/edit?usp=sharing"",""งบพรบ!CI22"")"),0)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IFERROR(__xludf.DUMMYFUNCTION("IMPORTRANGE(""https://docs.google.com/spreadsheets/d/1eHaY18a8A9IcSdp1K8H6x8fbOy06t2VsZHhMHf-1x7Y/edit?usp=sharing"",""แผน!Z22"")"),0)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IFERROR(__xludf.DUMMYFUNCTION("IMPORTRANGE(""https://docs.google.com/spreadsheets/d/1eHaY18a8A9IcSdp1K8H6x8fbOy06t2VsZHhMHf-1x7Y/edit?usp=sharing"",""แผน!Z22"")"),0)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IFERROR(__xludf.DUMMYFUNCTION("IMPORTRANGE(""https://docs.google.com/spreadsheets/d/1eHaY18a8A9IcSdp1K8H6x8fbOy06t2VsZHhMHf-1x7Y/edit?usp=sharing"",""แผน!Z22"")"),0)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hidden="1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hidden="1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IFERROR(__xludf.DUMMYFUNCTION("IMPORTRANGE(""https://docs.google.com/spreadsheets/d/1-uDff_7J0KD5mKrp0Vvzr7lt3OU09vwQwhkpOPPYv2Y/edit?usp=sharing"",""งบพรบ!CK22"")"),19590)</f>
        <v>19590</v>
      </c>
      <c r="M178" s="425">
        <f ca="1">IFERROR(__xludf.DUMMYFUNCTION("IMPORTRANGE(""https://docs.google.com/spreadsheets/d/1-uDff_7J0KD5mKrp0Vvzr7lt3OU09vwQwhkpOPPYv2Y/edit?usp=sharing"",""งบพรบ!CP22"")"),19590)</f>
        <v>19590</v>
      </c>
      <c r="N178" s="425">
        <f ca="1">IFERROR(__xludf.DUMMYFUNCTION("IMPORTRANGE(""https://docs.google.com/spreadsheets/d/1-uDff_7J0KD5mKrp0Vvzr7lt3OU09vwQwhkpOPPYv2Y/edit?usp=sharing"",""งบพรบ!CR22"")"),0)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hidden="1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IFERROR(__xludf.DUMMYFUNCTION("IMPORTRANGE(""https://docs.google.com/spreadsheets/d/1-uDff_7J0KD5mKrp0Vvzr7lt3OU09vwQwhkpOPPYv2Y/edit?usp=sharing"",""งบพรบ!CN22"")"),0)</f>
        <v>0</v>
      </c>
      <c r="M181" s="425">
        <f ca="1">IFERROR(__xludf.DUMMYFUNCTION("IMPORTRANGE(""https://docs.google.com/spreadsheets/d/1-uDff_7J0KD5mKrp0Vvzr7lt3OU09vwQwhkpOPPYv2Y/edit?usp=sharing"",""งบพรบ!CQ22"")"),0)</f>
        <v>0</v>
      </c>
      <c r="N181" s="425">
        <f ca="1">IFERROR(__xludf.DUMMYFUNCTION("IMPORTRANGE(""https://docs.google.com/spreadsheets/d/1-uDff_7J0KD5mKrp0Vvzr7lt3OU09vwQwhkpOPPYv2Y/edit?usp=sharing"",""งบพรบ!CS22"")"),0)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IFERROR(__xludf.DUMMYFUNCTION("IMPORTRANGE(""https://docs.google.com/spreadsheets/d/1eHaY18a8A9IcSdp1K8H6x8fbOy06t2VsZHhMHf-1x7Y/edit?usp=sharing"",""แผน!AA22"")"),7)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hidden="1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222500</v>
      </c>
      <c r="M186" s="577">
        <f ca="1">M187+M188</f>
        <v>152500</v>
      </c>
      <c r="N186" s="577">
        <f ca="1">N187+N188</f>
        <v>54000</v>
      </c>
      <c r="O186" s="577">
        <f ca="1">IF(L186&gt;0,N186*100/L186,0)</f>
        <v>24.269662921348313</v>
      </c>
      <c r="P186" s="577">
        <f ca="1">IF(M186&gt;0,N186*100/M186,0)</f>
        <v>35.409836065573771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hidden="1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222500</v>
      </c>
      <c r="M188" s="425">
        <f ca="1">M191+M194</f>
        <v>152500</v>
      </c>
      <c r="N188" s="425">
        <f ca="1">N191+N194</f>
        <v>54000</v>
      </c>
      <c r="O188" s="425">
        <f ca="1">IF(L188&gt;0,N188*100/L188,0)</f>
        <v>24.269662921348313</v>
      </c>
      <c r="P188" s="425">
        <f ca="1">IF(M188&gt;0,N188*100/M188,0)</f>
        <v>35.409836065573771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222500</v>
      </c>
      <c r="M189" s="425">
        <f ca="1">M190+M191</f>
        <v>152500</v>
      </c>
      <c r="N189" s="425">
        <f ca="1">N190+N191</f>
        <v>54000</v>
      </c>
      <c r="O189" s="425">
        <f ca="1">IF(L189&gt;0,N189*100/L189,0)</f>
        <v>24.269662921348313</v>
      </c>
      <c r="P189" s="425">
        <f ca="1">IF(M189&gt;0,N189*100/M189,0)</f>
        <v>35.409836065573771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hidden="1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IFERROR(__xludf.DUMMYFUNCTION("IMPORTRANGE(""https://docs.google.com/spreadsheets/d/1-uDff_7J0KD5mKrp0Vvzr7lt3OU09vwQwhkpOPPYv2Y/edit?usp=sharing"",""งบพรบ!CU22"")"),222500)</f>
        <v>222500</v>
      </c>
      <c r="M191" s="425">
        <f ca="1">IFERROR(__xludf.DUMMYFUNCTION("IMPORTRANGE(""https://docs.google.com/spreadsheets/d/1-uDff_7J0KD5mKrp0Vvzr7lt3OU09vwQwhkpOPPYv2Y/edit?usp=sharing"",""งบพรบ!CZ22"")"),152500)</f>
        <v>152500</v>
      </c>
      <c r="N191" s="425">
        <f ca="1">IFERROR(__xludf.DUMMYFUNCTION("IMPORTRANGE(""https://docs.google.com/spreadsheets/d/1-uDff_7J0KD5mKrp0Vvzr7lt3OU09vwQwhkpOPPYv2Y/edit?usp=sharing"",""งบพรบ!DB22"")"),54000)</f>
        <v>54000</v>
      </c>
      <c r="O191" s="425">
        <f ca="1">IF(L191&gt;0,N191*100/L191,0)</f>
        <v>24.269662921348313</v>
      </c>
      <c r="P191" s="425">
        <f ca="1">IF(M191&gt;0,N191*100/M191,0)</f>
        <v>35.409836065573771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hidden="1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IFERROR(__xludf.DUMMYFUNCTION("IMPORTRANGE(""https://docs.google.com/spreadsheets/d/1-uDff_7J0KD5mKrp0Vvzr7lt3OU09vwQwhkpOPPYv2Y/edit?usp=sharing"",""งบพรบ!CX22"")"),0)</f>
        <v>0</v>
      </c>
      <c r="M194" s="425">
        <f ca="1">IFERROR(__xludf.DUMMYFUNCTION("IMPORTRANGE(""https://docs.google.com/spreadsheets/d/1-uDff_7J0KD5mKrp0Vvzr7lt3OU09vwQwhkpOPPYv2Y/edit?usp=sharing"",""งบพรบ!DA22"")"),0)</f>
        <v>0</v>
      </c>
      <c r="N194" s="425">
        <f ca="1">IFERROR(__xludf.DUMMYFUNCTION("IMPORTRANGE(""https://docs.google.com/spreadsheets/d/1-uDff_7J0KD5mKrp0Vvzr7lt3OU09vwQwhkpOPPYv2Y/edit?usp=sharing"",""งบพรบ!DC22"")"),0)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IFERROR(__xludf.DUMMYFUNCTION("IMPORTRANGE(""https://docs.google.com/spreadsheets/d/1eHaY18a8A9IcSdp1K8H6x8fbOy06t2VsZHhMHf-1x7Y/edit?usp=sharing"",""แผน!AB22"")"),6000)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IFERROR(__xludf.DUMMYFUNCTION("IMPORTRANGE(""https://docs.google.com/spreadsheets/d/1eHaY18a8A9IcSdp1K8H6x8fbOy06t2VsZHhMHf-1x7Y/edit?usp=sharing"",""แผน!AE22"")"),4)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IFERROR(__xludf.DUMMYFUNCTION("IMPORTRANGE(""https://docs.google.com/spreadsheets/d/1eHaY18a8A9IcSdp1K8H6x8fbOy06t2VsZHhMHf-1x7Y/edit?usp=sharing"",""แผน!AG22"")"),2000)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IFERROR(__xludf.DUMMYFUNCTION("IMPORTRANGE(""https://docs.google.com/spreadsheets/d/1eHaY18a8A9IcSdp1K8H6x8fbOy06t2VsZHhMHf-1x7Y/edit?usp=sharing"",""แผน!AH22"")"),0)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IFERROR(__xludf.DUMMYFUNCTION("IMPORTRANGE(""https://docs.google.com/spreadsheets/d/1eHaY18a8A9IcSdp1K8H6x8fbOy06t2VsZHhMHf-1x7Y/edit?usp=sharing"",""แผน!AI22"")"),16000)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IFERROR(__xludf.DUMMYFUNCTION("IMPORTRANGE(""https://docs.google.com/spreadsheets/d/1eHaY18a8A9IcSdp1K8H6x8fbOy06t2VsZHhMHf-1x7Y/edit?usp=sharing"",""แผน!AJ22"")"),8000)</f>
        <v>8000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IFERROR(__xludf.DUMMYFUNCTION("IMPORTRANGE(""https://docs.google.com/spreadsheets/d/1eHaY18a8A9IcSdp1K8H6x8fbOy06t2VsZHhMHf-1x7Y/edit?usp=sharing"",""แผน!AK22"")"),2)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IFERROR(__xludf.DUMMYFUNCTION("IMPORTRANGE(""https://docs.google.com/spreadsheets/d/1eHaY18a8A9IcSdp1K8H6x8fbOy06t2VsZHhMHf-1x7Y/edit?usp=sharing"",""แผน!JX22"")"),2)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IFERROR(__xludf.DUMMYFUNCTION("IMPORTRANGE(""https://docs.google.com/spreadsheets/d/1eHaY18a8A9IcSdp1K8H6x8fbOy06t2VsZHhMHf-1x7Y/edit?usp=sharing"",""แผน!JY22"")"),0)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IFERROR(__xludf.DUMMYFUNCTION("IMPORTRANGE(""https://docs.google.com/spreadsheets/d/1eHaY18a8A9IcSdp1K8H6x8fbOy06t2VsZHhMHf-1x7Y/edit?usp=sharing"",""แผน!AM22"")"),0)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IFERROR(__xludf.DUMMYFUNCTION("IMPORTRANGE(""https://docs.google.com/spreadsheets/d/1eHaY18a8A9IcSdp1K8H6x8fbOy06t2VsZHhMHf-1x7Y/edit?usp=sharing"",""แผน!AN22"")"),0)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IFERROR(__xludf.DUMMYFUNCTION("IMPORTRANGE(""https://docs.google.com/spreadsheets/d/1eHaY18a8A9IcSdp1K8H6x8fbOy06t2VsZHhMHf-1x7Y/edit?usp=sharing"",""แผน!AO22"")"),0)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IFERROR(__xludf.DUMMYFUNCTION("IMPORTRANGE(""https://docs.google.com/spreadsheets/d/1eHaY18a8A9IcSdp1K8H6x8fbOy06t2VsZHhMHf-1x7Y/edit?usp=sharing"",""แผน!AP22"")"),0)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IFERROR(__xludf.DUMMYFUNCTION("IMPORTRANGE(""https://docs.google.com/spreadsheets/d/1eHaY18a8A9IcSdp1K8H6x8fbOy06t2VsZHhMHf-1x7Y/edit?usp=sharing"",""แผน!AP22"")"),0)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8500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IFERROR(__xludf.DUMMYFUNCTION("IMPORTRANGE(""https://docs.google.com/spreadsheets/d/1eHaY18a8A9IcSdp1K8H6x8fbOy06t2VsZHhMHf-1x7Y/edit?usp=sharing"",""แผน!AR22"")"),7000)</f>
        <v>7000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IFERROR(__xludf.DUMMYFUNCTION("IMPORTRANGE(""https://docs.google.com/spreadsheets/d/1eHaY18a8A9IcSdp1K8H6x8fbOy06t2VsZHhMHf-1x7Y/edit?usp=sharing"",""แผน!AS22"")"),1500)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IFERROR(__xludf.DUMMYFUNCTION("IMPORTRANGE(""https://docs.google.com/spreadsheets/d/1eHaY18a8A9IcSdp1K8H6x8fbOy06t2VsZHhMHf-1x7Y/edit?usp=sharing"",""แผน!AT22"")"),0)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IFERROR(__xludf.DUMMYFUNCTION("IMPORTRANGE(""https://docs.google.com/spreadsheets/d/1eHaY18a8A9IcSdp1K8H6x8fbOy06t2VsZHhMHf-1x7Y/edit?usp=sharing"",""แผน!AV22"")"),50000)</f>
        <v>50000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IFERROR(__xludf.DUMMYFUNCTION("IMPORTRANGE(""https://docs.google.com/spreadsheets/d/1eHaY18a8A9IcSdp1K8H6x8fbOy06t2VsZHhMHf-1x7Y/edit?usp=sharing"",""แผน!AV22"")"),50000)</f>
        <v>50000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IFERROR(__xludf.DUMMYFUNCTION("IMPORTRANGE(""https://docs.google.com/spreadsheets/d/1eHaY18a8A9IcSdp1K8H6x8fbOy06t2VsZHhMHf-1x7Y/edit?usp=sharing"",""แผน!AU22"")"),0)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IFERROR(__xludf.DUMMYFUNCTION("IMPORTRANGE(""https://docs.google.com/spreadsheets/d/1eHaY18a8A9IcSdp1K8H6x8fbOy06t2VsZHhMHf-1x7Y/edit?usp=sharing"",""แผน!AX22"")"),0)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IFERROR(__xludf.DUMMYFUNCTION("IMPORTRANGE(""https://docs.google.com/spreadsheets/d/1eHaY18a8A9IcSdp1K8H6x8fbOy06t2VsZHhMHf-1x7Y/edit?usp=sharing"",""แผน!AY22"")"),0)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IFERROR(__xludf.DUMMYFUNCTION("IMPORTRANGE(""https://docs.google.com/spreadsheets/d/1eHaY18a8A9IcSdp1K8H6x8fbOy06t2VsZHhMHf-1x7Y/edit?usp=sharing"",""แผน!AZ22"")"),0)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IFERROR(__xludf.DUMMYFUNCTION("IMPORTRANGE(""https://docs.google.com/spreadsheets/d/1eHaY18a8A9IcSdp1K8H6x8fbOy06t2VsZHhMHf-1x7Y/edit?usp=sharing"",""แผน!BA22"")"),0)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IFERROR(__xludf.DUMMYFUNCTION("IMPORTRANGE(""https://docs.google.com/spreadsheets/d/1eHaY18a8A9IcSdp1K8H6x8fbOy06t2VsZHhMHf-1x7Y/edit?usp=sharing"",""แผน!BG22"")"),0)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IFERROR(__xludf.DUMMYFUNCTION("IMPORTRANGE(""https://docs.google.com/spreadsheets/d/1eHaY18a8A9IcSdp1K8H6x8fbOy06t2VsZHhMHf-1x7Y/edit?usp=sharing"",""แผน!BB22"")"),0)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IFERROR(__xludf.DUMMYFUNCTION("IMPORTRANGE(""https://docs.google.com/spreadsheets/d/1eHaY18a8A9IcSdp1K8H6x8fbOy06t2VsZHhMHf-1x7Y/edit?usp=sharing"",""แผน!BC22"")"),0)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IFERROR(__xludf.DUMMYFUNCTION("IMPORTRANGE(""https://docs.google.com/spreadsheets/d/1eHaY18a8A9IcSdp1K8H6x8fbOy06t2VsZHhMHf-1x7Y/edit?usp=sharing"",""แผน!BD22"")"),0)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IFERROR(__xludf.DUMMYFUNCTION("IMPORTRANGE(""https://docs.google.com/spreadsheets/d/1eHaY18a8A9IcSdp1K8H6x8fbOy06t2VsZHhMHf-1x7Y/edit?usp=sharing"",""แผน!BE22"")"),0)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IFERROR(__xludf.DUMMYFUNCTION("IMPORTRANGE(""https://docs.google.com/spreadsheets/d/1eHaY18a8A9IcSdp1K8H6x8fbOy06t2VsZHhMHf-1x7Y/edit?usp=sharing"",""แผน!BH22"")"),0)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IFERROR(__xludf.DUMMYFUNCTION("IMPORTRANGE(""https://docs.google.com/spreadsheets/d/1-uDff_7J0KD5mKrp0Vvzr7lt3OU09vwQwhkpOPPYv2Y/edit?usp=sharing"",""งบพรบ!DE22"")"),0)</f>
        <v>0</v>
      </c>
      <c r="M271" s="521">
        <f ca="1">IFERROR(__xludf.DUMMYFUNCTION("IMPORTRANGE(""https://docs.google.com/spreadsheets/d/1-uDff_7J0KD5mKrp0Vvzr7lt3OU09vwQwhkpOPPYv2Y/edit?usp=sharing"",""งบพรบ!DJ22"")"),0)</f>
        <v>0</v>
      </c>
      <c r="N271" s="521">
        <f ca="1">IFERROR(__xludf.DUMMYFUNCTION("IMPORTRANGE(""https://docs.google.com/spreadsheets/d/1-uDff_7J0KD5mKrp0Vvzr7lt3OU09vwQwhkpOPPYv2Y/edit?usp=sharing"",""งบพรบ!DL22"")"),0)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IFERROR(__xludf.DUMMYFUNCTION("IMPORTRANGE(""https://docs.google.com/spreadsheets/d/1-uDff_7J0KD5mKrp0Vvzr7lt3OU09vwQwhkpOPPYv2Y/edit?usp=sharing"",""งบพรบ!DH22"")"),0)</f>
        <v>0</v>
      </c>
      <c r="M274" s="521">
        <f ca="1">IFERROR(__xludf.DUMMYFUNCTION("IMPORTRANGE(""https://docs.google.com/spreadsheets/d/1-uDff_7J0KD5mKrp0Vvzr7lt3OU09vwQwhkpOPPYv2Y/edit?usp=sharing"",""งบพรบ!DK22"")"),0)</f>
        <v>0</v>
      </c>
      <c r="N274" s="521">
        <f ca="1">IFERROR(__xludf.DUMMYFUNCTION("IMPORTRANGE(""https://docs.google.com/spreadsheets/d/1-uDff_7J0KD5mKrp0Vvzr7lt3OU09vwQwhkpOPPYv2Y/edit?usp=sharing"",""งบพรบ!DM22"")"),0)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hidden="1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10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100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140620</v>
      </c>
      <c r="M282" s="577">
        <f ca="1">M283+M284</f>
        <v>104980</v>
      </c>
      <c r="N282" s="577">
        <f ca="1">N283+N284</f>
        <v>4584.95</v>
      </c>
      <c r="O282" s="577">
        <f ca="1">IF(L282&gt;0,N282*100/L282,0)</f>
        <v>3.2605248186602189</v>
      </c>
      <c r="P282" s="577">
        <f ca="1">IF(M282&gt;0,N282*100/M282,0)</f>
        <v>4.3674509430367685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140620</v>
      </c>
      <c r="M284" s="425">
        <f ca="1">M287+M290</f>
        <v>104980</v>
      </c>
      <c r="N284" s="425">
        <f ca="1">N287+N290</f>
        <v>4584.95</v>
      </c>
      <c r="O284" s="425">
        <f ca="1">IF(L284&gt;0,N284*100/L284,0)</f>
        <v>3.2605248186602189</v>
      </c>
      <c r="P284" s="425">
        <f ca="1">IF(M284&gt;0,N284*100/M284,0)</f>
        <v>4.3674509430367685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140620</v>
      </c>
      <c r="M285" s="425">
        <f ca="1">M286+M287</f>
        <v>104980</v>
      </c>
      <c r="N285" s="425">
        <f ca="1">N286+N287</f>
        <v>4584.95</v>
      </c>
      <c r="O285" s="425">
        <f ca="1">IF(L285&gt;0,N285*100/L285,0)</f>
        <v>3.2605248186602189</v>
      </c>
      <c r="P285" s="425">
        <f ca="1">IF(M285&gt;0,N285*100/M285,0)</f>
        <v>4.3674509430367685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IFERROR(__xludf.DUMMYFUNCTION("IMPORTRANGE(""https://docs.google.com/spreadsheets/d/1-uDff_7J0KD5mKrp0Vvzr7lt3OU09vwQwhkpOPPYv2Y/edit?usp=sharing"",""งบพรบ!DO22"")"),140620)</f>
        <v>140620</v>
      </c>
      <c r="M287" s="425">
        <f ca="1">IFERROR(__xludf.DUMMYFUNCTION("IMPORTRANGE(""https://docs.google.com/spreadsheets/d/1-uDff_7J0KD5mKrp0Vvzr7lt3OU09vwQwhkpOPPYv2Y/edit?usp=sharing"",""งบพรบ!DT22"")"),104980)</f>
        <v>104980</v>
      </c>
      <c r="N287" s="425">
        <f ca="1">IFERROR(__xludf.DUMMYFUNCTION("IMPORTRANGE(""https://docs.google.com/spreadsheets/d/1-uDff_7J0KD5mKrp0Vvzr7lt3OU09vwQwhkpOPPYv2Y/edit?usp=sharing"",""งบพรบ!DV22"")"),4584.95)</f>
        <v>4584.95</v>
      </c>
      <c r="O287" s="425">
        <f ca="1">IF(L287&gt;0,N287*100/L287,0)</f>
        <v>3.2605248186602189</v>
      </c>
      <c r="P287" s="425">
        <f ca="1">IF(M287&gt;0,N287*100/M287,0)</f>
        <v>4.3674509430367685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IFERROR(__xludf.DUMMYFUNCTION("IMPORTRANGE(""https://docs.google.com/spreadsheets/d/1-uDff_7J0KD5mKrp0Vvzr7lt3OU09vwQwhkpOPPYv2Y/edit?usp=sharing"",""งบพรบ!DR22"")"),0)</f>
        <v>0</v>
      </c>
      <c r="M290" s="425">
        <f ca="1">IFERROR(__xludf.DUMMYFUNCTION("IMPORTRANGE(""https://docs.google.com/spreadsheets/d/1-uDff_7J0KD5mKrp0Vvzr7lt3OU09vwQwhkpOPPYv2Y/edit?usp=sharing"",""งบพรบ!DU22"")"),0)</f>
        <v>0</v>
      </c>
      <c r="N290" s="425">
        <f ca="1">IFERROR(__xludf.DUMMYFUNCTION("IMPORTRANGE(""https://docs.google.com/spreadsheets/d/1-uDff_7J0KD5mKrp0Vvzr7lt3OU09vwQwhkpOPPYv2Y/edit?usp=sharing"",""งบพรบ!DW22"")"),0)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IFERROR(__xludf.DUMMYFUNCTION("IMPORTRANGE(""https://docs.google.com/spreadsheets/d/1eHaY18a8A9IcSdp1K8H6x8fbOy06t2VsZHhMHf-1x7Y/edit?usp=sharing"",""แผน!EE22"")"),100)</f>
        <v>100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IFERROR(__xludf.DUMMYFUNCTION("IMPORTRANGE(""https://docs.google.com/spreadsheets/d/1eHaY18a8A9IcSdp1K8H6x8fbOy06t2VsZHhMHf-1x7Y/edit?usp=sharing"",""แผน!ED22"")"),10)</f>
        <v>10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IFERROR(__xludf.DUMMYFUNCTION("IMPORTRANGE(""https://docs.google.com/spreadsheets/d/1eHaY18a8A9IcSdp1K8H6x8fbOy06t2VsZHhMHf-1x7Y/edit?usp=sharing"",""แผน!ED22"")"),10)</f>
        <v>10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IFERROR(__xludf.DUMMYFUNCTION("IMPORTRANGE(""https://docs.google.com/spreadsheets/d/1eHaY18a8A9IcSdp1K8H6x8fbOy06t2VsZHhMHf-1x7Y/edit?usp=sharing"",""แผน!ED22"")"),10)</f>
        <v>10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IFERROR(__xludf.DUMMYFUNCTION("IMPORTRANGE(""https://docs.google.com/spreadsheets/d/1-uDff_7J0KD5mKrp0Vvzr7lt3OU09vwQwhkpOPPYv2Y/edit?usp=sharing"",""งบพรบ!DY22"")"),0)</f>
        <v>0</v>
      </c>
      <c r="M308" s="425">
        <f ca="1">IFERROR(__xludf.DUMMYFUNCTION("IMPORTRANGE(""https://docs.google.com/spreadsheets/d/1-uDff_7J0KD5mKrp0Vvzr7lt3OU09vwQwhkpOPPYv2Y/edit?usp=sharing"",""งบพรบ!ED22"")"),0)</f>
        <v>0</v>
      </c>
      <c r="N308" s="425">
        <f ca="1">IFERROR(__xludf.DUMMYFUNCTION("IMPORTRANGE(""https://docs.google.com/spreadsheets/d/1-uDff_7J0KD5mKrp0Vvzr7lt3OU09vwQwhkpOPPYv2Y/edit?usp=sharing"",""งบพรบ!EF22"")"),0)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IFERROR(__xludf.DUMMYFUNCTION("IMPORTRANGE(""https://docs.google.com/spreadsheets/d/1-uDff_7J0KD5mKrp0Vvzr7lt3OU09vwQwhkpOPPYv2Y/edit?usp=sharing"",""งบพรบ!EB22"")"),0)</f>
        <v>0</v>
      </c>
      <c r="M311" s="425">
        <f ca="1">IFERROR(__xludf.DUMMYFUNCTION("IMPORTRANGE(""https://docs.google.com/spreadsheets/d/1-uDff_7J0KD5mKrp0Vvzr7lt3OU09vwQwhkpOPPYv2Y/edit?usp=sharing"",""งบพรบ!EE22"")"),0)</f>
        <v>0</v>
      </c>
      <c r="N311" s="425">
        <f ca="1">IFERROR(__xludf.DUMMYFUNCTION("IMPORTRANGE(""https://docs.google.com/spreadsheets/d/1-uDff_7J0KD5mKrp0Vvzr7lt3OU09vwQwhkpOPPYv2Y/edit?usp=sharing"",""งบพรบ!EG22"")"),0)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IFERROR(__xludf.DUMMYFUNCTION("IMPORTRANGE(""https://docs.google.com/spreadsheets/d/1eHaY18a8A9IcSdp1K8H6x8fbOy06t2VsZHhMHf-1x7Y/edit?usp=sharing"",""แผน!EF22"")"),0)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IFERROR(__xludf.DUMMYFUNCTION("IMPORTRANGE(""https://docs.google.com/spreadsheets/d/1eHaY18a8A9IcSdp1K8H6x8fbOy06t2VsZHhMHf-1x7Y/edit?usp=sharing"",""แผน!EG22"")"),0)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IFERROR(__xludf.DUMMYFUNCTION("IMPORTRANGE(""https://docs.google.com/spreadsheets/d/1eHaY18a8A9IcSdp1K8H6x8fbOy06t2VsZHhMHf-1x7Y/edit?usp=sharing"",""แผน!EH22"")"),0)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IFERROR(__xludf.DUMMYFUNCTION("IMPORTRANGE(""https://docs.google.com/spreadsheets/d/1eHaY18a8A9IcSdp1K8H6x8fbOy06t2VsZHhMHf-1x7Y/edit?usp=sharing"",""แผน!EI22"")"),0)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IFERROR(__xludf.DUMMYFUNCTION("IMPORTRANGE(""https://docs.google.com/spreadsheets/d/1-uDff_7J0KD5mKrp0Vvzr7lt3OU09vwQwhkpOPPYv2Y/edit?usp=sharing"",""งบพรบ!EI22"")"),0)</f>
        <v>0</v>
      </c>
      <c r="M325" s="425">
        <f ca="1">IFERROR(__xludf.DUMMYFUNCTION("IMPORTRANGE(""https://docs.google.com/spreadsheets/d/1-uDff_7J0KD5mKrp0Vvzr7lt3OU09vwQwhkpOPPYv2Y/edit?usp=sharing"",""งบพรบ!EN22"")"),0)</f>
        <v>0</v>
      </c>
      <c r="N325" s="425">
        <f ca="1">IFERROR(__xludf.DUMMYFUNCTION("IMPORTRANGE(""https://docs.google.com/spreadsheets/d/1-uDff_7J0KD5mKrp0Vvzr7lt3OU09vwQwhkpOPPYv2Y/edit?usp=sharing"",""งบพรบ!EP22"")"),0)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IFERROR(__xludf.DUMMYFUNCTION("IMPORTRANGE(""https://docs.google.com/spreadsheets/d/1-uDff_7J0KD5mKrp0Vvzr7lt3OU09vwQwhkpOPPYv2Y/edit?usp=sharing"",""งบพรบ!EL22"")"),0)</f>
        <v>0</v>
      </c>
      <c r="M328" s="425">
        <f ca="1">IFERROR(__xludf.DUMMYFUNCTION("IMPORTRANGE(""https://docs.google.com/spreadsheets/d/1-uDff_7J0KD5mKrp0Vvzr7lt3OU09vwQwhkpOPPYv2Y/edit?usp=sharing"",""งบพรบ!EO22"")"),0)</f>
        <v>0</v>
      </c>
      <c r="N328" s="425">
        <f ca="1">IFERROR(__xludf.DUMMYFUNCTION("IMPORTRANGE(""https://docs.google.com/spreadsheets/d/1-uDff_7J0KD5mKrp0Vvzr7lt3OU09vwQwhkpOPPYv2Y/edit?usp=sharing"",""งบพรบ!EQ22"")"),0)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IFERROR(__xludf.DUMMYFUNCTION("IMPORTRANGE(""https://docs.google.com/spreadsheets/d/1eHaY18a8A9IcSdp1K8H6x8fbOy06t2VsZHhMHf-1x7Y/edit?usp=sharing"",""แผน!EJ22"")"),0)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1060</v>
      </c>
      <c r="J332" s="402">
        <f ca="1">J344+J347+J348+J349+J353</f>
        <v>1098</v>
      </c>
      <c r="K332" s="403">
        <f ca="1">IF(I332&gt;0,J332*100/I332,0)</f>
        <v>103.58490566037736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110000</v>
      </c>
      <c r="M333" s="577">
        <f ca="1">M334+M335</f>
        <v>85750</v>
      </c>
      <c r="N333" s="577">
        <f ca="1">N334+N335</f>
        <v>17160</v>
      </c>
      <c r="O333" s="577">
        <f ca="1">IF(L333&gt;0,N333*100/L333,0)</f>
        <v>15.6</v>
      </c>
      <c r="P333" s="577">
        <f ca="1">IF(M333&gt;0,N333*100/M333,0)</f>
        <v>20.011661807580175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110000</v>
      </c>
      <c r="M335" s="425">
        <f ca="1">M338+M341</f>
        <v>85750</v>
      </c>
      <c r="N335" s="425">
        <f ca="1">N338+N341</f>
        <v>17160</v>
      </c>
      <c r="O335" s="425">
        <f ca="1">IF(L335&gt;0,N335*100/L335,0)</f>
        <v>15.6</v>
      </c>
      <c r="P335" s="425">
        <f ca="1">IF(M335&gt;0,N335*100/M335,0)</f>
        <v>20.011661807580175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110000</v>
      </c>
      <c r="M336" s="425">
        <f ca="1">M337+M338</f>
        <v>85750</v>
      </c>
      <c r="N336" s="425">
        <f ca="1">N337+N338</f>
        <v>17160</v>
      </c>
      <c r="O336" s="425">
        <f ca="1">IF(L336&gt;0,N336*100/L336,0)</f>
        <v>15.6</v>
      </c>
      <c r="P336" s="425">
        <f ca="1">IF(M336&gt;0,N336*100/M336,0)</f>
        <v>20.011661807580175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IFERROR(__xludf.DUMMYFUNCTION("IMPORTRANGE(""https://docs.google.com/spreadsheets/d/1-uDff_7J0KD5mKrp0Vvzr7lt3OU09vwQwhkpOPPYv2Y/edit?usp=sharing"",""งบพรบ!ES22"")"),110000)</f>
        <v>110000</v>
      </c>
      <c r="M338" s="425">
        <f ca="1">IFERROR(__xludf.DUMMYFUNCTION("IMPORTRANGE(""https://docs.google.com/spreadsheets/d/1-uDff_7J0KD5mKrp0Vvzr7lt3OU09vwQwhkpOPPYv2Y/edit?usp=sharing"",""งบพรบ!EX22"")"),85750)</f>
        <v>85750</v>
      </c>
      <c r="N338" s="425">
        <f ca="1">IFERROR(__xludf.DUMMYFUNCTION("IMPORTRANGE(""https://docs.google.com/spreadsheets/d/1-uDff_7J0KD5mKrp0Vvzr7lt3OU09vwQwhkpOPPYv2Y/edit?usp=sharing"",""งบพรบ!EZ22"")"),17160)</f>
        <v>17160</v>
      </c>
      <c r="O338" s="425">
        <f ca="1">IF(L338&gt;0,N338*100/L338,0)</f>
        <v>15.6</v>
      </c>
      <c r="P338" s="425">
        <f ca="1">IF(M338&gt;0,N338*100/M338,0)</f>
        <v>20.011661807580175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IFERROR(__xludf.DUMMYFUNCTION("IMPORTRANGE(""https://docs.google.com/spreadsheets/d/1-uDff_7J0KD5mKrp0Vvzr7lt3OU09vwQwhkpOPPYv2Y/edit?usp=sharing"",""งบพรบ!EV22"")"),0)</f>
        <v>0</v>
      </c>
      <c r="M341" s="425">
        <f ca="1">IFERROR(__xludf.DUMMYFUNCTION("IMPORTRANGE(""https://docs.google.com/spreadsheets/d/1-uDff_7J0KD5mKrp0Vvzr7lt3OU09vwQwhkpOPPYv2Y/edit?usp=sharing"",""งบพรบ!EY22"")"),0)</f>
        <v>0</v>
      </c>
      <c r="N341" s="425">
        <f ca="1">IFERROR(__xludf.DUMMYFUNCTION("IMPORTRANGE(""https://docs.google.com/spreadsheets/d/1-uDff_7J0KD5mKrp0Vvzr7lt3OU09vwQwhkpOPPYv2Y/edit?usp=sharing"",""งบพรบ!FA22"")"),0)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544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IFERROR(__xludf.DUMMYFUNCTION("IMPORTRANGE(""https://docs.google.com/spreadsheets/d/1eHaY18a8A9IcSdp1K8H6x8fbOy06t2VsZHhMHf-1x7Y/edit?usp=sharing"",""แผน!EK22"")"),1060)</f>
        <v>1060</v>
      </c>
      <c r="J344" s="424">
        <f ca="1">IFERROR(__xludf.DUMMYFUNCTION("IMPORTRANGE(""https://docs.google.com/spreadsheets/d/1awYsYK3VOup2i3Pq_Yjnu8DRu_mYwSBnCR2QPthd0rU/edit?usp=sharing"",""ศูนย์ยกเว้นโฉนด!D22"")"),471)</f>
        <v>471</v>
      </c>
      <c r="K344" s="425">
        <f ca="1">IF(I344&gt;0,J344*100/I344,0)</f>
        <v>44.433962264150942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IFERROR(__xludf.DUMMYFUNCTION("IMPORTRANGE(""https://docs.google.com/spreadsheets/d/1eHaY18a8A9IcSdp1K8H6x8fbOy06t2VsZHhMHf-1x7Y/edit?usp=sharing"",""แผน!EL22"")"),5)</f>
        <v>5</v>
      </c>
      <c r="J346" s="424">
        <f ca="1">IFERROR(__xludf.DUMMYFUNCTION("IMPORTRANGE(""https://docs.google.com/spreadsheets/d/1awYsYK3VOup2i3Pq_Yjnu8DRu_mYwSBnCR2QPthd0rU/edit?usp=sharing"",""ศูนย์รวม!E22"")"),4)</f>
        <v>4</v>
      </c>
      <c r="K346" s="425">
        <f ca="1">IF(I346&gt;0,J346*100/I346,0)</f>
        <v>80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IFERROR(__xludf.DUMMYFUNCTION("IMPORTRANGE(""https://docs.google.com/spreadsheets/d/1awYsYK3VOup2i3Pq_Yjnu8DRu_mYwSBnCR2QPthd0rU/edit?usp=sharing"",""ศูนย์ยกเว้นโฉนด!F22"")"),69)</f>
        <v>69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IFERROR(__xludf.DUMMYFUNCTION("IMPORTRANGE(""https://docs.google.com/spreadsheets/d/1awYsYK3VOup2i3Pq_Yjnu8DRu_mYwSBnCR2QPthd0rU/edit?usp=sharing"",""ศูนย์ยกเว้นโฉนด!G22"")"),2)</f>
        <v>2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IFERROR(__xludf.DUMMYFUNCTION("IMPORTRANGE(""https://docs.google.com/spreadsheets/d/1awYsYK3VOup2i3Pq_Yjnu8DRu_mYwSBnCR2QPthd0rU/edit?usp=sharing"",""ศูนย์ยกเว้นโฉนด!H22"")"),2)</f>
        <v>2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904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IFERROR(__xludf.DUMMYFUNCTION("IMPORTRANGE(""https://docs.google.com/spreadsheets/d/1awYsYK3VOup2i3Pq_Yjnu8DRu_mYwSBnCR2QPthd0rU/edit?usp=sharing"",""โฉนดM3!G22"")"),350)</f>
        <v>350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IFERROR(__xludf.DUMMYFUNCTION("IMPORTRANGE(""https://docs.google.com/spreadsheets/d/1awYsYK3VOup2i3Pq_Yjnu8DRu_mYwSBnCR2QPthd0rU/edit?usp=sharing"",""โฉนดM3!H22"")"),554)</f>
        <v>554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405005</v>
      </c>
      <c r="M356" s="577">
        <f ca="1">M357+M358</f>
        <v>326405</v>
      </c>
      <c r="N356" s="577">
        <f ca="1">N357+N358</f>
        <v>65409.55</v>
      </c>
      <c r="O356" s="577">
        <f ca="1">IF(L356&gt;0,N356*100/L356,0)</f>
        <v>16.150306786335971</v>
      </c>
      <c r="P356" s="577">
        <f ca="1">IF(M356&gt;0,N356*100/M356,0)</f>
        <v>20.03938358787396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405005</v>
      </c>
      <c r="M358" s="425">
        <f ca="1">M361+M364</f>
        <v>326405</v>
      </c>
      <c r="N358" s="425">
        <f ca="1">N361+N364</f>
        <v>65409.55</v>
      </c>
      <c r="O358" s="425">
        <f ca="1">IF(L358&gt;0,N358*100/L358,0)</f>
        <v>16.150306786335971</v>
      </c>
      <c r="P358" s="425">
        <f ca="1">IF(M358&gt;0,N358*100/M358,0)</f>
        <v>20.03938358787396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405005</v>
      </c>
      <c r="M359" s="425">
        <f ca="1">M360+M361</f>
        <v>326405</v>
      </c>
      <c r="N359" s="425">
        <f ca="1">N360+N361</f>
        <v>65409.55</v>
      </c>
      <c r="O359" s="425">
        <f ca="1">IF(L359&gt;0,N359*100/L359,0)</f>
        <v>16.150306786335971</v>
      </c>
      <c r="P359" s="425">
        <f ca="1">IF(M359&gt;0,N359*100/M359,0)</f>
        <v>20.03938358787396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IFERROR(__xludf.DUMMYFUNCTION("IMPORTRANGE(""https://docs.google.com/spreadsheets/d/1-uDff_7J0KD5mKrp0Vvzr7lt3OU09vwQwhkpOPPYv2Y/edit?usp=sharing"",""งบพรบ!FC22"")"),405005)</f>
        <v>405005</v>
      </c>
      <c r="M361" s="425">
        <f ca="1">IFERROR(__xludf.DUMMYFUNCTION("IMPORTRANGE(""https://docs.google.com/spreadsheets/d/1-uDff_7J0KD5mKrp0Vvzr7lt3OU09vwQwhkpOPPYv2Y/edit?usp=sharing"",""งบพรบ!FH22"")"),326405)</f>
        <v>326405</v>
      </c>
      <c r="N361" s="425">
        <f ca="1">IFERROR(__xludf.DUMMYFUNCTION("IMPORTRANGE(""https://docs.google.com/spreadsheets/d/1-uDff_7J0KD5mKrp0Vvzr7lt3OU09vwQwhkpOPPYv2Y/edit?usp=sharing"",""งบพรบ!FJ22"")"),65409.55)</f>
        <v>65409.55</v>
      </c>
      <c r="O361" s="425">
        <f ca="1">IF(L361&gt;0,N361*100/L361,0)</f>
        <v>16.150306786335971</v>
      </c>
      <c r="P361" s="425">
        <f ca="1">IF(M361&gt;0,N361*100/M361,0)</f>
        <v>20.03938358787396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IFERROR(__xludf.DUMMYFUNCTION("IMPORTRANGE(""https://docs.google.com/spreadsheets/d/1-uDff_7J0KD5mKrp0Vvzr7lt3OU09vwQwhkpOPPYv2Y/edit?usp=sharing"",""งบพรบ!FF22"")"),0)</f>
        <v>0</v>
      </c>
      <c r="M364" s="425">
        <f ca="1">IFERROR(__xludf.DUMMYFUNCTION("IMPORTRANGE(""https://docs.google.com/spreadsheets/d/1-uDff_7J0KD5mKrp0Vvzr7lt3OU09vwQwhkpOPPYv2Y/edit?usp=sharing"",""งบพรบ!FI22"")"),0)</f>
        <v>0</v>
      </c>
      <c r="N364" s="425">
        <f ca="1">IFERROR(__xludf.DUMMYFUNCTION("IMPORTRANGE(""https://docs.google.com/spreadsheets/d/1-uDff_7J0KD5mKrp0Vvzr7lt3OU09vwQwhkpOPPYv2Y/edit?usp=sharing"",""งบพรบ!FK22"")"),0)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101</v>
      </c>
      <c r="J365" s="438">
        <f ca="1">J371</f>
        <v>0</v>
      </c>
      <c r="K365" s="439">
        <f ca="1">IF(I365&gt;0,J365*100/I365,0)</f>
        <v>0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IFERROR(__xludf.DUMMYFUNCTION("IMPORTRANGE(""https://docs.google.com/spreadsheets/d/1tdoBKaGub7dwA3U6UFTqxio9LNnvDCQjHKmttSEBsFQ/edit?usp=sharing"",""จัดที่ดิน!AB22"")"),1)</f>
        <v>1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IFERROR(__xludf.DUMMYFUNCTION("IMPORTRANGE(""https://docs.google.com/spreadsheets/d/1eHaY18a8A9IcSdp1K8H6x8fbOy06t2VsZHhMHf-1x7Y/edit?usp=sharing"",""แผน!EW22"")"),1010)</f>
        <v>1010</v>
      </c>
      <c r="J368" s="565">
        <f ca="1">IFERROR(__xludf.DUMMYFUNCTION("IMPORTRANGE(""https://docs.google.com/spreadsheets/d/1tdoBKaGub7dwA3U6UFTqxio9LNnvDCQjHKmttSEBsFQ/edit?usp=sharing"",""จัดที่ดิน!AC22"")"),1.34)</f>
        <v>1.34</v>
      </c>
      <c r="K368" s="425">
        <f ca="1">IF(I368&gt;0,J368*100/I368,0)</f>
        <v>0.13267326732673268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IFERROR(__xludf.DUMMYFUNCTION("IMPORTRANGE(""https://docs.google.com/spreadsheets/d/1eHaY18a8A9IcSdp1K8H6x8fbOy06t2VsZHhMHf-1x7Y/edit?usp=sharing"",""แผน!EX22"")"),157)</f>
        <v>157</v>
      </c>
      <c r="J369" s="424">
        <f ca="1">IFERROR(__xludf.DUMMYFUNCTION("IMPORTRANGE(""https://docs.google.com/spreadsheets/d/1tdoBKaGub7dwA3U6UFTqxio9LNnvDCQjHKmttSEBsFQ/edit?usp=sharing"",""จัดที่ดิน!AD22"")"),0)</f>
        <v>0</v>
      </c>
      <c r="K369" s="425">
        <f ca="1">IF(I369&gt;0,J369*100/I369,0)</f>
        <v>0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IFERROR(__xludf.DUMMYFUNCTION("IMPORTRANGE(""https://docs.google.com/spreadsheets/d/1tdoBKaGub7dwA3U6UFTqxio9LNnvDCQjHKmttSEBsFQ/edit?usp=sharing"",""จัดที่ดิน!AE22"")"),0)</f>
        <v>0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IFERROR(__xludf.DUMMYFUNCTION("IMPORTRANGE(""https://docs.google.com/spreadsheets/d/1eHaY18a8A9IcSdp1K8H6x8fbOy06t2VsZHhMHf-1x7Y/edit?usp=sharing"",""แผน!EY22"")"),101)</f>
        <v>101</v>
      </c>
      <c r="J371" s="424">
        <f ca="1">IFERROR(__xludf.DUMMYFUNCTION("IMPORTRANGE(""https://docs.google.com/spreadsheets/d/1tdoBKaGub7dwA3U6UFTqxio9LNnvDCQjHKmttSEBsFQ/edit?usp=sharing"",""จัดที่ดิน!AF22"")"),0)</f>
        <v>0</v>
      </c>
      <c r="K371" s="425">
        <f ca="1">IF(I371&gt;0,J371*100/I371,0)</f>
        <v>0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IFERROR(__xludf.DUMMYFUNCTION("IMPORTRANGE(""https://docs.google.com/spreadsheets/d/1tdoBKaGub7dwA3U6UFTqxio9LNnvDCQjHKmttSEBsFQ/edit?usp=sharing"",""จัดที่ดิน!AG22"")"),0)</f>
        <v>0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IFERROR(__xludf.DUMMYFUNCTION("IMPORTRANGE(""https://docs.google.com/spreadsheets/d/1-uDff_7J0KD5mKrp0Vvzr7lt3OU09vwQwhkpOPPYv2Y/edit?usp=sharing"",""งบพรบ!FM22"")"),0)</f>
        <v>0</v>
      </c>
      <c r="M382" s="521">
        <f ca="1">IFERROR(__xludf.DUMMYFUNCTION("IMPORTRANGE(""https://docs.google.com/spreadsheets/d/1-uDff_7J0KD5mKrp0Vvzr7lt3OU09vwQwhkpOPPYv2Y/edit?usp=sharing"",""งบพรบ!FR22"")"),0)</f>
        <v>0</v>
      </c>
      <c r="N382" s="521">
        <f ca="1">IFERROR(__xludf.DUMMYFUNCTION("IMPORTRANGE(""https://docs.google.com/spreadsheets/d/1-uDff_7J0KD5mKrp0Vvzr7lt3OU09vwQwhkpOPPYv2Y/edit?usp=sharing"",""งบพรบ!FT22"")"),0)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IFERROR(__xludf.DUMMYFUNCTION("IMPORTRANGE(""https://docs.google.com/spreadsheets/d/1-uDff_7J0KD5mKrp0Vvzr7lt3OU09vwQwhkpOPPYv2Y/edit?usp=sharing"",""งบพรบ!FP22"")"),0)</f>
        <v>0</v>
      </c>
      <c r="M385" s="521">
        <f ca="1">IFERROR(__xludf.DUMMYFUNCTION("IMPORTRANGE(""https://docs.google.com/spreadsheets/d/1-uDff_7J0KD5mKrp0Vvzr7lt3OU09vwQwhkpOPPYv2Y/edit?usp=sharing"",""งบพรบ!FS22"")"),0)</f>
        <v>0</v>
      </c>
      <c r="N385" s="521">
        <f ca="1">IFERROR(__xludf.DUMMYFUNCTION("IMPORTRANGE(""https://docs.google.com/spreadsheets/d/1-uDff_7J0KD5mKrp0Vvzr7lt3OU09vwQwhkpOPPYv2Y/edit?usp=sharing"",""งบพรบ!FU22"")"),0)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3" orientation="portrait" verticalDpi="0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D460-8868-4E8C-9073-DB5659C2C612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28515625" bestFit="1" customWidth="1"/>
    <col min="10" max="11" width="12.42578125" bestFit="1" customWidth="1"/>
    <col min="12" max="14" width="21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174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2820905</v>
      </c>
      <c r="M18" s="704">
        <f ca="1">M19+M20</f>
        <v>2516415</v>
      </c>
      <c r="N18" s="704">
        <f ca="1">N19+N20</f>
        <v>1113412.74</v>
      </c>
      <c r="O18" s="704">
        <f ca="1">IF(L18&gt;0,N18*100/L18,0)</f>
        <v>39.470054468335519</v>
      </c>
      <c r="P18" s="704">
        <f ca="1">IF(M18&gt;0,N18*100/M18,0)</f>
        <v>44.245990426857254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2820905</v>
      </c>
      <c r="M20" s="817">
        <f ca="1">M23+M26</f>
        <v>2516415</v>
      </c>
      <c r="N20" s="817">
        <f ca="1">N23+N26</f>
        <v>1113412.74</v>
      </c>
      <c r="O20" s="817">
        <f ca="1">IF(L20&gt;0,N20*100/L20,0)</f>
        <v>39.470054468335519</v>
      </c>
      <c r="P20" s="817">
        <f ca="1">IF(M20&gt;0,N20*100/M20,0)</f>
        <v>44.245990426857254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2820905</v>
      </c>
      <c r="M21" s="425">
        <f ca="1">M22+M23</f>
        <v>2516415</v>
      </c>
      <c r="N21" s="425">
        <f ca="1">N22+N23</f>
        <v>1113412.74</v>
      </c>
      <c r="O21" s="425">
        <f ca="1">IF(L21&gt;0,N21*100/L21,0)</f>
        <v>39.470054468335519</v>
      </c>
      <c r="P21" s="425">
        <f ca="1">IF(M21&gt;0,N21*100/M21,0)</f>
        <v>44.245990426857254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2820905</v>
      </c>
      <c r="M23" s="425">
        <f ca="1">M49+M64+M77+M99+M130+M144+M162+M191+M178+M271+M287+M308+M325+M338+M361+M382</f>
        <v>2516415</v>
      </c>
      <c r="N23" s="425">
        <f ca="1">N49+N64+N77+N99+N130+N144+N162+N191+N178+N271+N287+N308+N325+N338+N361+N382</f>
        <v>1113412.74</v>
      </c>
      <c r="O23" s="425">
        <f ca="1">IF(L23&gt;0,N23*100/L23,0)</f>
        <v>39.470054468335519</v>
      </c>
      <c r="P23" s="425">
        <f ca="1">IF(M23&gt;0,N23*100/M23,0)</f>
        <v>44.245990426857254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2820905</v>
      </c>
      <c r="M40" s="809">
        <f ca="1">M44+M59+M72+M94+M125+M139+M157+M173+M186+M266+M282+M303+M320+M333+M356</f>
        <v>2516415</v>
      </c>
      <c r="N40" s="809">
        <f ca="1">N44+N59+N72+N94+N125+N139+N157+N173+N186+N266+N282+N303+N320+N333+N356</f>
        <v>1113412.74</v>
      </c>
      <c r="O40" s="809">
        <f ca="1">IF(L40&gt;0,N40*100/L40,0)</f>
        <v>39.470054468335519</v>
      </c>
      <c r="P40" s="809">
        <f ca="1">IF(M40&gt;0,N40*100/M40,0)</f>
        <v>44.245990426857254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345850</v>
      </c>
      <c r="M44" s="794">
        <f ca="1">M45+M46</f>
        <v>357100</v>
      </c>
      <c r="N44" s="794">
        <f ca="1">N45+N46</f>
        <v>183450</v>
      </c>
      <c r="O44" s="794">
        <f ca="1">IF(L44&gt;0,N44*100/L44,0)</f>
        <v>53.04322683244181</v>
      </c>
      <c r="P44" s="794">
        <f ca="1">IF(M44&gt;0,N44*100/M44,0)</f>
        <v>51.372164659759171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345850</v>
      </c>
      <c r="M46" s="783">
        <f ca="1">M49+M52</f>
        <v>357100</v>
      </c>
      <c r="N46" s="783">
        <f ca="1">N49+N52</f>
        <v>183450</v>
      </c>
      <c r="O46" s="783">
        <f ca="1">IF(L46&gt;0,N46*100/L46,0)</f>
        <v>53.04322683244181</v>
      </c>
      <c r="P46" s="783">
        <f ca="1">IF(M46&gt;0,N46*100/M46,0)</f>
        <v>51.372164659759171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345850</v>
      </c>
      <c r="M47" s="425">
        <f ca="1">M48+M49</f>
        <v>357100</v>
      </c>
      <c r="N47" s="425">
        <f ca="1">N48+N49</f>
        <v>183450</v>
      </c>
      <c r="O47" s="425">
        <f ca="1">IF(L47&gt;0,N47*100/L47,0)</f>
        <v>53.04322683244181</v>
      </c>
      <c r="P47" s="425">
        <f ca="1">IF(M47&gt;0,N47*100/M47,0)</f>
        <v>51.372164659759171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IFERROR(__xludf.DUMMYFUNCTION("IMPORTRANGE(""https://docs.google.com/spreadsheets/d/1-uDff_7J0KD5mKrp0Vvzr7lt3OU09vwQwhkpOPPYv2Y/edit?usp=sharing"",""งบพรบ!P23"")"),345850)</f>
        <v>345850</v>
      </c>
      <c r="M49" s="425">
        <f ca="1">IFERROR(__xludf.DUMMYFUNCTION("IMPORTRANGE(""https://docs.google.com/spreadsheets/d/1-uDff_7J0KD5mKrp0Vvzr7lt3OU09vwQwhkpOPPYv2Y/edit?usp=sharing"",""งบพรบ!V23"")"),357100)</f>
        <v>357100</v>
      </c>
      <c r="N49" s="425">
        <f ca="1">IFERROR(__xludf.DUMMYFUNCTION("IMPORTRANGE(""https://docs.google.com/spreadsheets/d/1-uDff_7J0KD5mKrp0Vvzr7lt3OU09vwQwhkpOPPYv2Y/edit?usp=sharing"",""งบพรบ!Y23"")"),183450)</f>
        <v>183450</v>
      </c>
      <c r="O49" s="425">
        <f ca="1">IF(L49&gt;0,N49*100/L49,0)</f>
        <v>53.04322683244181</v>
      </c>
      <c r="P49" s="425">
        <f ca="1">IF(M49&gt;0,N49*100/M49,0)</f>
        <v>51.372164659759171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IFERROR(__xludf.DUMMYFUNCTION("IMPORTRANGE(""https://docs.google.com/spreadsheets/d/1-uDff_7J0KD5mKrp0Vvzr7lt3OU09vwQwhkpOPPYv2Y/edit?usp=sharing"",""งบพรบ!S23"")"),0)</f>
        <v>0</v>
      </c>
      <c r="M52" s="425">
        <f ca="1">IFERROR(__xludf.DUMMYFUNCTION("IMPORTRANGE(""https://docs.google.com/spreadsheets/d/1-uDff_7J0KD5mKrp0Vvzr7lt3OU09vwQwhkpOPPYv2Y/edit?usp=sharing"",""งบพรบ!W23"")"),0)</f>
        <v>0</v>
      </c>
      <c r="N52" s="425">
        <f ca="1">IFERROR(__xludf.DUMMYFUNCTION("IMPORTRANGE(""https://docs.google.com/spreadsheets/d/1-uDff_7J0KD5mKrp0Vvzr7lt3OU09vwQwhkpOPPYv2Y/edit?usp=sharing"",""งบพรบ!Z23"")"),0)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549000</v>
      </c>
      <c r="M59" s="763">
        <f ca="1">M60+M61</f>
        <v>413750</v>
      </c>
      <c r="N59" s="763">
        <f ca="1">N60+N61</f>
        <v>277327.78999999998</v>
      </c>
      <c r="O59" s="763">
        <f ca="1">IF(L59&gt;0,N59*100/L59,0)</f>
        <v>50.51508014571948</v>
      </c>
      <c r="P59" s="763">
        <f ca="1">IF(M59&gt;0,N59*100/M59,0)</f>
        <v>67.02786465256797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549000</v>
      </c>
      <c r="M61" s="752">
        <f ca="1">M64+M67</f>
        <v>413750</v>
      </c>
      <c r="N61" s="752">
        <f ca="1">N64+N67</f>
        <v>277327.78999999998</v>
      </c>
      <c r="O61" s="752">
        <f ca="1">IF(L61&gt;0,N61*100/L61,0)</f>
        <v>50.51508014571948</v>
      </c>
      <c r="P61" s="752">
        <f ca="1">IF(M61&gt;0,N61*100/M61,0)</f>
        <v>67.02786465256797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549000</v>
      </c>
      <c r="M62" s="425">
        <f ca="1">M63+M64</f>
        <v>413750</v>
      </c>
      <c r="N62" s="425">
        <f ca="1">N63+N64</f>
        <v>277327.78999999998</v>
      </c>
      <c r="O62" s="425">
        <f ca="1">IF(L62&gt;0,N62*100/L62,0)</f>
        <v>50.51508014571948</v>
      </c>
      <c r="P62" s="425">
        <f ca="1">IF(M62&gt;0,N62*100/M62,0)</f>
        <v>67.02786465256797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IFERROR(__xludf.DUMMYFUNCTION("IMPORTRANGE(""https://docs.google.com/spreadsheets/d/1-uDff_7J0KD5mKrp0Vvzr7lt3OU09vwQwhkpOPPYv2Y/edit?usp=sharing"",""งบพรบ!AC23"")"),549000)</f>
        <v>549000</v>
      </c>
      <c r="M64" s="425">
        <f ca="1">IFERROR(__xludf.DUMMYFUNCTION("IMPORTRANGE(""https://docs.google.com/spreadsheets/d/1-uDff_7J0KD5mKrp0Vvzr7lt3OU09vwQwhkpOPPYv2Y/edit?usp=sharing"",""งบพรบ!AH23"")"),413750)</f>
        <v>413750</v>
      </c>
      <c r="N64" s="425">
        <f ca="1">IFERROR(__xludf.DUMMYFUNCTION("IMPORTRANGE(""https://docs.google.com/spreadsheets/d/1-uDff_7J0KD5mKrp0Vvzr7lt3OU09vwQwhkpOPPYv2Y/edit?usp=sharing"",""งบพรบ!AJ23"")"),277327.79)</f>
        <v>277327.78999999998</v>
      </c>
      <c r="O64" s="425">
        <f ca="1">IF(L64&gt;0,N64*100/L64,0)</f>
        <v>50.51508014571948</v>
      </c>
      <c r="P64" s="425">
        <f ca="1">IF(M64&gt;0,N64*100/M64,0)</f>
        <v>67.02786465256797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IFERROR(__xludf.DUMMYFUNCTION("IMPORTRANGE(""https://docs.google.com/spreadsheets/d/1-uDff_7J0KD5mKrp0Vvzr7lt3OU09vwQwhkpOPPYv2Y/edit?usp=sharing"",""งบพรบ!AF23"")"),0)</f>
        <v>0</v>
      </c>
      <c r="M67" s="747">
        <f ca="1">IFERROR(__xludf.DUMMYFUNCTION("IMPORTRANGE(""https://docs.google.com/spreadsheets/d/1-uDff_7J0KD5mKrp0Vvzr7lt3OU09vwQwhkpOPPYv2Y/edit?usp=sharing"",""งบพรบ!AI23"")"),0)</f>
        <v>0</v>
      </c>
      <c r="N67" s="747">
        <f ca="1">IFERROR(__xludf.DUMMYFUNCTION("IMPORTRANGE(""https://docs.google.com/spreadsheets/d/1-uDff_7J0KD5mKrp0Vvzr7lt3OU09vwQwhkpOPPYv2Y/edit?usp=sharing"",""งบพรบ!AK23"")"),0)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IFERROR(__xludf.DUMMYFUNCTION("IMPORTRANGE(""https://docs.google.com/spreadsheets/d/1-uDff_7J0KD5mKrp0Vvzr7lt3OU09vwQwhkpOPPYv2Y/edit?usp=sharing"",""งบพรบ!AM23"")"),0)</f>
        <v>0</v>
      </c>
      <c r="M77" s="425">
        <f ca="1">IFERROR(__xludf.DUMMYFUNCTION("IMPORTRANGE(""https://docs.google.com/spreadsheets/d/1-uDff_7J0KD5mKrp0Vvzr7lt3OU09vwQwhkpOPPYv2Y/edit?usp=sharing"",""งบพรบ!AR23"")"),0)</f>
        <v>0</v>
      </c>
      <c r="N77" s="425">
        <f ca="1">IFERROR(__xludf.DUMMYFUNCTION("IMPORTRANGE(""https://docs.google.com/spreadsheets/d/1-uDff_7J0KD5mKrp0Vvzr7lt3OU09vwQwhkpOPPYv2Y/edit?usp=sharing"",""งบพรบ!AT23"")"),0)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IFERROR(__xludf.DUMMYFUNCTION("IMPORTRANGE(""https://docs.google.com/spreadsheets/d/1-uDff_7J0KD5mKrp0Vvzr7lt3OU09vwQwhkpOPPYv2Y/edit?usp=sharing"",""งบพรบ!AP23"")"),0)</f>
        <v>0</v>
      </c>
      <c r="M80" s="425">
        <f ca="1">IFERROR(__xludf.DUMMYFUNCTION("IMPORTRANGE(""https://docs.google.com/spreadsheets/d/1-uDff_7J0KD5mKrp0Vvzr7lt3OU09vwQwhkpOPPYv2Y/edit?usp=sharing"",""งบพรบ!AS23"")"),0)</f>
        <v>0</v>
      </c>
      <c r="N80" s="425">
        <f ca="1">IFERROR(__xludf.DUMMYFUNCTION("IMPORTRANGE(""https://docs.google.com/spreadsheets/d/1-uDff_7J0KD5mKrp0Vvzr7lt3OU09vwQwhkpOPPYv2Y/edit?usp=sharing"",""งบพรบ!AU23"")"),0)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IFERROR(__xludf.DUMMYFUNCTION("IMPORTRANGE(""https://docs.google.com/spreadsheets/d/1eHaY18a8A9IcSdp1K8H6x8fbOy06t2VsZHhMHf-1x7Y/edit?usp=sharing"",""แผน!H23"")"),0)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IFERROR(__xludf.DUMMYFUNCTION("IMPORTRANGE(""https://docs.google.com/spreadsheets/d/1eHaY18a8A9IcSdp1K8H6x8fbOy06t2VsZHhMHf-1x7Y/edit?usp=sharing"",""แผน!I23"")"),0)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IFERROR(__xludf.DUMMYFUNCTION("IMPORTRANGE(""https://docs.google.com/spreadsheets/d/1eHaY18a8A9IcSdp1K8H6x8fbOy06t2VsZHhMHf-1x7Y/edit?usp=sharing"",""แผน!F23"")"),0)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IFERROR(__xludf.DUMMYFUNCTION("IMPORTRANGE(""https://docs.google.com/spreadsheets/d/1eHaY18a8A9IcSdp1K8H6x8fbOy06t2VsZHhMHf-1x7Y/edit?usp=sharing"",""แผน!G23"")"),0)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IFERROR(__xludf.DUMMYFUNCTION("IMPORTRANGE(""https://docs.google.com/spreadsheets/d/1eHaY18a8A9IcSdp1K8H6x8fbOy06t2VsZHhMHf-1x7Y/edit?usp=sharing"",""แผน!D23"")"),0)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IFERROR(__xludf.DUMMYFUNCTION("IMPORTRANGE(""https://docs.google.com/spreadsheets/d/1eHaY18a8A9IcSdp1K8H6x8fbOy06t2VsZHhMHf-1x7Y/edit?usp=sharing"",""แผน!E23"")"),0)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IFERROR(__xludf.DUMMYFUNCTION("IMPORTRANGE(""https://docs.google.com/spreadsheets/d/1eHaY18a8A9IcSdp1K8H6x8fbOy06t2VsZHhMHf-1x7Y/edit?usp=sharing"",""แผน!J23"")"),0)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IFERROR(__xludf.DUMMYFUNCTION("IMPORTRANGE(""https://docs.google.com/spreadsheets/d/1-uDff_7J0KD5mKrp0Vvzr7lt3OU09vwQwhkpOPPYv2Y/edit?usp=sharing"",""งบพรบ!AW23"")"),0)</f>
        <v>0</v>
      </c>
      <c r="M99" s="425">
        <f ca="1">IFERROR(__xludf.DUMMYFUNCTION("IMPORTRANGE(""https://docs.google.com/spreadsheets/d/1-uDff_7J0KD5mKrp0Vvzr7lt3OU09vwQwhkpOPPYv2Y/edit?usp=sharing"",""งบพรบ!BB23"")"),0)</f>
        <v>0</v>
      </c>
      <c r="N99" s="425">
        <f ca="1">IFERROR(__xludf.DUMMYFUNCTION("IMPORTRANGE(""https://docs.google.com/spreadsheets/d/1-uDff_7J0KD5mKrp0Vvzr7lt3OU09vwQwhkpOPPYv2Y/edit?usp=sharing"",""งบพรบ!BD23"")"),0)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IFERROR(__xludf.DUMMYFUNCTION("IMPORTRANGE(""https://docs.google.com/spreadsheets/d/1-uDff_7J0KD5mKrp0Vvzr7lt3OU09vwQwhkpOPPYv2Y/edit?usp=sharing"",""งบพรบ!AZ23"")"),0)</f>
        <v>0</v>
      </c>
      <c r="M102" s="425">
        <f ca="1">IFERROR(__xludf.DUMMYFUNCTION("IMPORTRANGE(""https://docs.google.com/spreadsheets/d/1-uDff_7J0KD5mKrp0Vvzr7lt3OU09vwQwhkpOPPYv2Y/edit?usp=sharing"",""งบพรบ!BC23"")"),0)</f>
        <v>0</v>
      </c>
      <c r="N102" s="425">
        <f ca="1">IFERROR(__xludf.DUMMYFUNCTION("IMPORTRANGE(""https://docs.google.com/spreadsheets/d/1-uDff_7J0KD5mKrp0Vvzr7lt3OU09vwQwhkpOPPYv2Y/edit?usp=sharing"",""งบพรบ!BE23"")"),0)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IFERROR(__xludf.DUMMYFUNCTION("IMPORTRANGE(""https://docs.google.com/spreadsheets/d/1eHaY18a8A9IcSdp1K8H6x8fbOy06t2VsZHhMHf-1x7Y/edit?usp=sharing"",""แผน!N23"")"),0)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IFERROR(__xludf.DUMMYFUNCTION("IMPORTRANGE(""https://docs.google.com/spreadsheets/d/1eHaY18a8A9IcSdp1K8H6x8fbOy06t2VsZHhMHf-1x7Y/edit?usp=sharing"",""แผน!O23"")"),0)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IFERROR(__xludf.DUMMYFUNCTION("IMPORTRANGE(""https://docs.google.com/spreadsheets/d/1eHaY18a8A9IcSdp1K8H6x8fbOy06t2VsZHhMHf-1x7Y/edit?usp=sharing"",""แผน!R23"")"),0)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IFERROR(__xludf.DUMMYFUNCTION("IMPORTRANGE(""https://docs.google.com/spreadsheets/d/1-uDff_7J0KD5mKrp0Vvzr7lt3OU09vwQwhkpOPPYv2Y/edit?usp=sharing"",""งบพรบ!BG23"")"),0)</f>
        <v>0</v>
      </c>
      <c r="M130" s="723">
        <f ca="1">IFERROR(__xludf.DUMMYFUNCTION("IMPORTRANGE(""https://docs.google.com/spreadsheets/d/1-uDff_7J0KD5mKrp0Vvzr7lt3OU09vwQwhkpOPPYv2Y/edit?usp=sharing"",""งบพรบ!BL23"")"),0)</f>
        <v>0</v>
      </c>
      <c r="N130" s="723">
        <f ca="1">IFERROR(__xludf.DUMMYFUNCTION("IMPORTRANGE(""https://docs.google.com/spreadsheets/d/1-uDff_7J0KD5mKrp0Vvzr7lt3OU09vwQwhkpOPPYv2Y/edit?usp=sharing"",""งบพรบ!BN23"")"),0)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IFERROR(__xludf.DUMMYFUNCTION("IMPORTRANGE(""https://docs.google.com/spreadsheets/d/1-uDff_7J0KD5mKrp0Vvzr7lt3OU09vwQwhkpOPPYv2Y/edit?usp=sharing"",""งบพรบ!BJ23"")"),0)</f>
        <v>0</v>
      </c>
      <c r="M133" s="723">
        <f ca="1">IFERROR(__xludf.DUMMYFUNCTION("IMPORTRANGE(""https://docs.google.com/spreadsheets/d/1-uDff_7J0KD5mKrp0Vvzr7lt3OU09vwQwhkpOPPYv2Y/edit?usp=sharing"",""งบพรบ!BM23"")"),0)</f>
        <v>0</v>
      </c>
      <c r="N133" s="723">
        <f ca="1">IFERROR(__xludf.DUMMYFUNCTION("IMPORTRANGE(""https://docs.google.com/spreadsheets/d/1-uDff_7J0KD5mKrp0Vvzr7lt3OU09vwQwhkpOPPYv2Y/edit?usp=sharing"",""งบพรบ!BO23"")"),0)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10</v>
      </c>
      <c r="J137" s="705">
        <f>J152</f>
        <v>10</v>
      </c>
      <c r="K137" s="704">
        <f ca="1">IF(I137&gt;0,J137*100/I137,0)</f>
        <v>100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1</v>
      </c>
      <c r="J138" s="705">
        <f>J153</f>
        <v>1</v>
      </c>
      <c r="K138" s="704">
        <f ca="1">IF(I138&gt;0,J138*100/I138,0)</f>
        <v>100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23300</v>
      </c>
      <c r="M139" s="577">
        <f ca="1">M140+M141</f>
        <v>18300</v>
      </c>
      <c r="N139" s="577">
        <f ca="1">N140+N141</f>
        <v>14680</v>
      </c>
      <c r="O139" s="577">
        <f ca="1">IF(L139&gt;0,N139*100/L139,0)</f>
        <v>63.004291845493562</v>
      </c>
      <c r="P139" s="577">
        <f ca="1">IF(M139&gt;0,N139*100/M139,0)</f>
        <v>80.21857923497268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23300</v>
      </c>
      <c r="M141" s="425">
        <f ca="1">M144+M147</f>
        <v>18300</v>
      </c>
      <c r="N141" s="425">
        <f ca="1">N144+N147</f>
        <v>14680</v>
      </c>
      <c r="O141" s="425">
        <f ca="1">IF(L141&gt;0,N141*100/L141,0)</f>
        <v>63.004291845493562</v>
      </c>
      <c r="P141" s="425">
        <f ca="1">IF(M141&gt;0,N141*100/M141,0)</f>
        <v>80.21857923497268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23300</v>
      </c>
      <c r="M142" s="425">
        <f ca="1">M143+M144</f>
        <v>18300</v>
      </c>
      <c r="N142" s="425">
        <f ca="1">N143+N144</f>
        <v>14680</v>
      </c>
      <c r="O142" s="425">
        <f ca="1">IF(L142&gt;0,N142*100/L142,0)</f>
        <v>63.004291845493562</v>
      </c>
      <c r="P142" s="425">
        <f ca="1">IF(M142&gt;0,N142*100/M142,0)</f>
        <v>80.21857923497268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IFERROR(__xludf.DUMMYFUNCTION("IMPORTRANGE(""https://docs.google.com/spreadsheets/d/1-uDff_7J0KD5mKrp0Vvzr7lt3OU09vwQwhkpOPPYv2Y/edit?usp=sharing"",""งบพรบ!BQ23"")"),23300)</f>
        <v>23300</v>
      </c>
      <c r="M144" s="425">
        <f ca="1">IFERROR(__xludf.DUMMYFUNCTION("IMPORTRANGE(""https://docs.google.com/spreadsheets/d/1-uDff_7J0KD5mKrp0Vvzr7lt3OU09vwQwhkpOPPYv2Y/edit?usp=sharing"",""งบพรบ!BV23"")"),18300)</f>
        <v>18300</v>
      </c>
      <c r="N144" s="425">
        <f ca="1">IFERROR(__xludf.DUMMYFUNCTION("IMPORTRANGE(""https://docs.google.com/spreadsheets/d/1-uDff_7J0KD5mKrp0Vvzr7lt3OU09vwQwhkpOPPYv2Y/edit?usp=sharing"",""งบพรบ!BX23"")"),14680)</f>
        <v>14680</v>
      </c>
      <c r="O144" s="425">
        <f ca="1">IF(L144&gt;0,N144*100/L144,0)</f>
        <v>63.004291845493562</v>
      </c>
      <c r="P144" s="425">
        <f ca="1">IF(M144&gt;0,N144*100/M144,0)</f>
        <v>80.21857923497268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IFERROR(__xludf.DUMMYFUNCTION("IMPORTRANGE(""https://docs.google.com/spreadsheets/d/1-uDff_7J0KD5mKrp0Vvzr7lt3OU09vwQwhkpOPPYv2Y/edit?usp=sharing"",""งบพรบ!BT23"")"),0)</f>
        <v>0</v>
      </c>
      <c r="M147" s="425">
        <f ca="1">IFERROR(__xludf.DUMMYFUNCTION("IMPORTRANGE(""https://docs.google.com/spreadsheets/d/1-uDff_7J0KD5mKrp0Vvzr7lt3OU09vwQwhkpOPPYv2Y/edit?usp=sharing"",""งบพรบ!BW23"")"),0)</f>
        <v>0</v>
      </c>
      <c r="N147" s="425">
        <f ca="1">IFERROR(__xludf.DUMMYFUNCTION("IMPORTRANGE(""https://docs.google.com/spreadsheets/d/1-uDff_7J0KD5mKrp0Vvzr7lt3OU09vwQwhkpOPPYv2Y/edit?usp=sharing"",""งบพรบ!BY23"")"),0)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IFERROR(__xludf.DUMMYFUNCTION("IMPORTRANGE(""https://docs.google.com/spreadsheets/d/1eHaY18a8A9IcSdp1K8H6x8fbOy06t2VsZHhMHf-1x7Y/edit?usp=sharing"",""แผน!U23"")"),0)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IFERROR(__xludf.DUMMYFUNCTION("IMPORTRANGE(""https://docs.google.com/spreadsheets/d/1eHaY18a8A9IcSdp1K8H6x8fbOy06t2VsZHhMHf-1x7Y/edit?usp=sharing"",""แผน!V23"")"),0)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IFERROR(__xludf.DUMMYFUNCTION("IMPORTRANGE(""https://docs.google.com/spreadsheets/d/1eHaY18a8A9IcSdp1K8H6x8fbOy06t2VsZHhMHf-1x7Y/edit?usp=sharing"",""แผน!W23"")"),10)</f>
        <v>10</v>
      </c>
      <c r="J152" s="595">
        <v>10</v>
      </c>
      <c r="K152" s="425">
        <f ca="1">IF(I152&gt;0,J152*100/I152,0)</f>
        <v>100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IFERROR(__xludf.DUMMYFUNCTION("IMPORTRANGE(""https://docs.google.com/spreadsheets/d/1eHaY18a8A9IcSdp1K8H6x8fbOy06t2VsZHhMHf-1x7Y/edit?usp=sharing"",""แผน!X23"")"),1)</f>
        <v>1</v>
      </c>
      <c r="J153" s="595">
        <v>1</v>
      </c>
      <c r="K153" s="425">
        <f ca="1">IF(I153&gt;0,J153*100/I153,0)</f>
        <v>100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IFERROR(__xludf.DUMMYFUNCTION("IMPORTRANGE(""https://docs.google.com/spreadsheets/d/1eHaY18a8A9IcSdp1K8H6x8fbOy06t2VsZHhMHf-1x7Y/edit?usp=sharing"",""แผน!Y23"")"),0)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20</v>
      </c>
      <c r="J156" s="705">
        <f>J167</f>
        <v>20</v>
      </c>
      <c r="K156" s="704">
        <f ca="1">IF(I156&gt;0,J156*100/I156,0)</f>
        <v>100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6000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6000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6000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IFERROR(__xludf.DUMMYFUNCTION("IMPORTRANGE(""https://docs.google.com/spreadsheets/d/1-uDff_7J0KD5mKrp0Vvzr7lt3OU09vwQwhkpOPPYv2Y/edit?usp=sharing"",""งบพรบ!CA23"")"),6000)</f>
        <v>6000</v>
      </c>
      <c r="M162" s="425">
        <f ca="1">IFERROR(__xludf.DUMMYFUNCTION("IMPORTRANGE(""https://docs.google.com/spreadsheets/d/1-uDff_7J0KD5mKrp0Vvzr7lt3OU09vwQwhkpOPPYv2Y/edit?usp=sharing"",""งบพรบ!CF23"")"),0)</f>
        <v>0</v>
      </c>
      <c r="N162" s="425">
        <f ca="1">IFERROR(__xludf.DUMMYFUNCTION("IMPORTRANGE(""https://docs.google.com/spreadsheets/d/1-uDff_7J0KD5mKrp0Vvzr7lt3OU09vwQwhkpOPPYv2Y/edit?usp=sharing"",""งบพรบ!CH23"")"),0)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IFERROR(__xludf.DUMMYFUNCTION("IMPORTRANGE(""https://docs.google.com/spreadsheets/d/1-uDff_7J0KD5mKrp0Vvzr7lt3OU09vwQwhkpOPPYv2Y/edit?usp=sharing"",""งบพรบ!CD23"")"),0)</f>
        <v>0</v>
      </c>
      <c r="M165" s="425">
        <f ca="1">IFERROR(__xludf.DUMMYFUNCTION("IMPORTRANGE(""https://docs.google.com/spreadsheets/d/1-uDff_7J0KD5mKrp0Vvzr7lt3OU09vwQwhkpOPPYv2Y/edit?usp=sharing"",""งบพรบ!CG23"")"),0)</f>
        <v>0</v>
      </c>
      <c r="N165" s="425">
        <f ca="1">IFERROR(__xludf.DUMMYFUNCTION("IMPORTRANGE(""https://docs.google.com/spreadsheets/d/1-uDff_7J0KD5mKrp0Vvzr7lt3OU09vwQwhkpOPPYv2Y/edit?usp=sharing"",""งบพรบ!CI23"")"),0)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IFERROR(__xludf.DUMMYFUNCTION("IMPORTRANGE(""https://docs.google.com/spreadsheets/d/1eHaY18a8A9IcSdp1K8H6x8fbOy06t2VsZHhMHf-1x7Y/edit?usp=sharing"",""แผน!Z23"")"),20)</f>
        <v>20</v>
      </c>
      <c r="J167" s="595">
        <v>20</v>
      </c>
      <c r="K167" s="425">
        <f ca="1">IF(I167&gt;0,J167*100/I167,0)</f>
        <v>100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20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20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111890</v>
      </c>
      <c r="N173" s="577">
        <f ca="1">N174+N175</f>
        <v>62360</v>
      </c>
      <c r="O173" s="577">
        <f ca="1">IF(L173&gt;0,N173*100/L173,0)</f>
        <v>318.3256763654926</v>
      </c>
      <c r="P173" s="577">
        <f ca="1">IF(M173&gt;0,N173*100/M173,0)</f>
        <v>55.733309500402179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111890</v>
      </c>
      <c r="N175" s="425">
        <f ca="1">N178+N181</f>
        <v>62360</v>
      </c>
      <c r="O175" s="425">
        <f ca="1">IF(L175&gt;0,N175*100/L175,0)</f>
        <v>318.3256763654926</v>
      </c>
      <c r="P175" s="425">
        <f ca="1">IF(M175&gt;0,N175*100/M175,0)</f>
        <v>55.733309500402179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111890</v>
      </c>
      <c r="N176" s="425">
        <f ca="1">N177+N178</f>
        <v>62360</v>
      </c>
      <c r="O176" s="425">
        <f ca="1">IF(L176&gt;0,N176*100/L176,0)</f>
        <v>318.3256763654926</v>
      </c>
      <c r="P176" s="425">
        <f ca="1">IF(M176&gt;0,N176*100/M176,0)</f>
        <v>55.733309500402179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IFERROR(__xludf.DUMMYFUNCTION("IMPORTRANGE(""https://docs.google.com/spreadsheets/d/1-uDff_7J0KD5mKrp0Vvzr7lt3OU09vwQwhkpOPPYv2Y/edit?usp=sharing"",""งบพรบ!CK23"")"),19590)</f>
        <v>19590</v>
      </c>
      <c r="M178" s="425">
        <f ca="1">IFERROR(__xludf.DUMMYFUNCTION("IMPORTRANGE(""https://docs.google.com/spreadsheets/d/1-uDff_7J0KD5mKrp0Vvzr7lt3OU09vwQwhkpOPPYv2Y/edit?usp=sharing"",""งบพรบ!CP23"")"),111890)</f>
        <v>111890</v>
      </c>
      <c r="N178" s="425">
        <f ca="1">IFERROR(__xludf.DUMMYFUNCTION("IMPORTRANGE(""https://docs.google.com/spreadsheets/d/1-uDff_7J0KD5mKrp0Vvzr7lt3OU09vwQwhkpOPPYv2Y/edit?usp=sharing"",""งบพรบ!CR23"")"),62360)</f>
        <v>62360</v>
      </c>
      <c r="O178" s="425">
        <f ca="1">IF(L178&gt;0,N178*100/L178,0)</f>
        <v>318.3256763654926</v>
      </c>
      <c r="P178" s="425">
        <f ca="1">IF(M178&gt;0,N178*100/M178,0)</f>
        <v>55.733309500402179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IFERROR(__xludf.DUMMYFUNCTION("IMPORTRANGE(""https://docs.google.com/spreadsheets/d/1-uDff_7J0KD5mKrp0Vvzr7lt3OU09vwQwhkpOPPYv2Y/edit?usp=sharing"",""งบพรบ!CN23"")"),0)</f>
        <v>0</v>
      </c>
      <c r="M181" s="425">
        <f ca="1">IFERROR(__xludf.DUMMYFUNCTION("IMPORTRANGE(""https://docs.google.com/spreadsheets/d/1-uDff_7J0KD5mKrp0Vvzr7lt3OU09vwQwhkpOPPYv2Y/edit?usp=sharing"",""งบพรบ!CQ23"")"),0)</f>
        <v>0</v>
      </c>
      <c r="N181" s="425">
        <f ca="1">IFERROR(__xludf.DUMMYFUNCTION("IMPORTRANGE(""https://docs.google.com/spreadsheets/d/1-uDff_7J0KD5mKrp0Vvzr7lt3OU09vwQwhkpOPPYv2Y/edit?usp=sharing"",""งบพรบ!CS23"")"),0)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IFERROR(__xludf.DUMMYFUNCTION("IMPORTRANGE(""https://docs.google.com/spreadsheets/d/1eHaY18a8A9IcSdp1K8H6x8fbOy06t2VsZHhMHf-1x7Y/edit?usp=sharing"",""แผน!AA23"")"),7)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198500</v>
      </c>
      <c r="M186" s="577">
        <f ca="1">M187+M188</f>
        <v>123500</v>
      </c>
      <c r="N186" s="577">
        <f ca="1">N187+N188</f>
        <v>26360</v>
      </c>
      <c r="O186" s="577">
        <f ca="1">IF(L186&gt;0,N186*100/L186,0)</f>
        <v>13.279596977329975</v>
      </c>
      <c r="P186" s="577">
        <f ca="1">IF(M186&gt;0,N186*100/M186,0)</f>
        <v>21.344129554655872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198500</v>
      </c>
      <c r="M188" s="425">
        <f ca="1">M191+M194</f>
        <v>123500</v>
      </c>
      <c r="N188" s="425">
        <f ca="1">N191+N194</f>
        <v>26360</v>
      </c>
      <c r="O188" s="425">
        <f ca="1">IF(L188&gt;0,N188*100/L188,0)</f>
        <v>13.279596977329975</v>
      </c>
      <c r="P188" s="425">
        <f ca="1">IF(M188&gt;0,N188*100/M188,0)</f>
        <v>21.344129554655872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198500</v>
      </c>
      <c r="M189" s="425">
        <f ca="1">M190+M191</f>
        <v>123500</v>
      </c>
      <c r="N189" s="425">
        <f ca="1">N190+N191</f>
        <v>26360</v>
      </c>
      <c r="O189" s="425">
        <f ca="1">IF(L189&gt;0,N189*100/L189,0)</f>
        <v>13.279596977329975</v>
      </c>
      <c r="P189" s="425">
        <f ca="1">IF(M189&gt;0,N189*100/M189,0)</f>
        <v>21.344129554655872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IFERROR(__xludf.DUMMYFUNCTION("IMPORTRANGE(""https://docs.google.com/spreadsheets/d/1-uDff_7J0KD5mKrp0Vvzr7lt3OU09vwQwhkpOPPYv2Y/edit?usp=sharing"",""งบพรบ!CU23"")"),198500)</f>
        <v>198500</v>
      </c>
      <c r="M191" s="425">
        <f ca="1">IFERROR(__xludf.DUMMYFUNCTION("IMPORTRANGE(""https://docs.google.com/spreadsheets/d/1-uDff_7J0KD5mKrp0Vvzr7lt3OU09vwQwhkpOPPYv2Y/edit?usp=sharing"",""งบพรบ!CZ23"")"),123500)</f>
        <v>123500</v>
      </c>
      <c r="N191" s="425">
        <f ca="1">IFERROR(__xludf.DUMMYFUNCTION("IMPORTRANGE(""https://docs.google.com/spreadsheets/d/1-uDff_7J0KD5mKrp0Vvzr7lt3OU09vwQwhkpOPPYv2Y/edit?usp=sharing"",""งบพรบ!DB23"")"),26360)</f>
        <v>26360</v>
      </c>
      <c r="O191" s="425">
        <f ca="1">IF(L191&gt;0,N191*100/L191,0)</f>
        <v>13.279596977329975</v>
      </c>
      <c r="P191" s="425">
        <f ca="1">IF(M191&gt;0,N191*100/M191,0)</f>
        <v>21.344129554655872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IFERROR(__xludf.DUMMYFUNCTION("IMPORTRANGE(""https://docs.google.com/spreadsheets/d/1-uDff_7J0KD5mKrp0Vvzr7lt3OU09vwQwhkpOPPYv2Y/edit?usp=sharing"",""งบพรบ!CX23"")"),0)</f>
        <v>0</v>
      </c>
      <c r="M194" s="425">
        <f ca="1">IFERROR(__xludf.DUMMYFUNCTION("IMPORTRANGE(""https://docs.google.com/spreadsheets/d/1-uDff_7J0KD5mKrp0Vvzr7lt3OU09vwQwhkpOPPYv2Y/edit?usp=sharing"",""งบพรบ!DA23"")"),0)</f>
        <v>0</v>
      </c>
      <c r="N194" s="425">
        <f ca="1">IFERROR(__xludf.DUMMYFUNCTION("IMPORTRANGE(""https://docs.google.com/spreadsheets/d/1-uDff_7J0KD5mKrp0Vvzr7lt3OU09vwQwhkpOPPYv2Y/edit?usp=sharing"",""งบพรบ!DC23"")"),0)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IFERROR(__xludf.DUMMYFUNCTION("IMPORTRANGE(""https://docs.google.com/spreadsheets/d/1eHaY18a8A9IcSdp1K8H6x8fbOy06t2VsZHhMHf-1x7Y/edit?usp=sharing"",""แผน!AB23"")"),6000)</f>
        <v>6000</v>
      </c>
      <c r="M196" s="428"/>
      <c r="N196" s="686">
        <v>360</v>
      </c>
      <c r="O196" s="577">
        <f ca="1">IF(L196&gt;0,N196*100/L196,0)</f>
        <v>6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IFERROR(__xludf.DUMMYFUNCTION("IMPORTRANGE(""https://docs.google.com/spreadsheets/d/1eHaY18a8A9IcSdp1K8H6x8fbOy06t2VsZHhMHf-1x7Y/edit?usp=sharing"",""แผน!AE23"")"),4)</f>
        <v>4</v>
      </c>
      <c r="J198" s="595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1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1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4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57000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IFERROR(__xludf.DUMMYFUNCTION("IMPORTRANGE(""https://docs.google.com/spreadsheets/d/1eHaY18a8A9IcSdp1K8H6x8fbOy06t2VsZHhMHf-1x7Y/edit?usp=sharing"",""แผน!AG23"")"),4000)</f>
        <v>4000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IFERROR(__xludf.DUMMYFUNCTION("IMPORTRANGE(""https://docs.google.com/spreadsheets/d/1eHaY18a8A9IcSdp1K8H6x8fbOy06t2VsZHhMHf-1x7Y/edit?usp=sharing"",""แผน!AH23"")"),0)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IFERROR(__xludf.DUMMYFUNCTION("IMPORTRANGE(""https://docs.google.com/spreadsheets/d/1eHaY18a8A9IcSdp1K8H6x8fbOy06t2VsZHhMHf-1x7Y/edit?usp=sharing"",""แผน!AI23"")"),32000)</f>
        <v>32000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IFERROR(__xludf.DUMMYFUNCTION("IMPORTRANGE(""https://docs.google.com/spreadsheets/d/1eHaY18a8A9IcSdp1K8H6x8fbOy06t2VsZHhMHf-1x7Y/edit?usp=sharing"",""แผน!AJ23"")"),21000)</f>
        <v>21000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IFERROR(__xludf.DUMMYFUNCTION("IMPORTRANGE(""https://docs.google.com/spreadsheets/d/1eHaY18a8A9IcSdp1K8H6x8fbOy06t2VsZHhMHf-1x7Y/edit?usp=sharing"",""แผน!AK23"")"),4)</f>
        <v>4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IFERROR(__xludf.DUMMYFUNCTION("IMPORTRANGE(""https://docs.google.com/spreadsheets/d/1eHaY18a8A9IcSdp1K8H6x8fbOy06t2VsZHhMHf-1x7Y/edit?usp=sharing"",""แผน!JX23"")"),4)</f>
        <v>4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IFERROR(__xludf.DUMMYFUNCTION("IMPORTRANGE(""https://docs.google.com/spreadsheets/d/1eHaY18a8A9IcSdp1K8H6x8fbOy06t2VsZHhMHf-1x7Y/edit?usp=sharing"",""แผน!JY23"")"),1)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2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28000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IFERROR(__xludf.DUMMYFUNCTION("IMPORTRANGE(""https://docs.google.com/spreadsheets/d/1eHaY18a8A9IcSdp1K8H6x8fbOy06t2VsZHhMHf-1x7Y/edit?usp=sharing"",""แผน!AM23"")"),2000)</f>
        <v>2000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IFERROR(__xludf.DUMMYFUNCTION("IMPORTRANGE(""https://docs.google.com/spreadsheets/d/1eHaY18a8A9IcSdp1K8H6x8fbOy06t2VsZHhMHf-1x7Y/edit?usp=sharing"",""แผน!AN23"")"),10000)</f>
        <v>10000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IFERROR(__xludf.DUMMYFUNCTION("IMPORTRANGE(""https://docs.google.com/spreadsheets/d/1eHaY18a8A9IcSdp1K8H6x8fbOy06t2VsZHhMHf-1x7Y/edit?usp=sharing"",""แผน!AO23"")"),16000)</f>
        <v>16000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IFERROR(__xludf.DUMMYFUNCTION("IMPORTRANGE(""https://docs.google.com/spreadsheets/d/1eHaY18a8A9IcSdp1K8H6x8fbOy06t2VsZHhMHf-1x7Y/edit?usp=sharing"",""แผน!AP23"")"),2)</f>
        <v>2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IFERROR(__xludf.DUMMYFUNCTION("IMPORTRANGE(""https://docs.google.com/spreadsheets/d/1eHaY18a8A9IcSdp1K8H6x8fbOy06t2VsZHhMHf-1x7Y/edit?usp=sharing"",""แผน!AP23"")"),2)</f>
        <v>2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128000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16500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IFERROR(__xludf.DUMMYFUNCTION("IMPORTRANGE(""https://docs.google.com/spreadsheets/d/1eHaY18a8A9IcSdp1K8H6x8fbOy06t2VsZHhMHf-1x7Y/edit?usp=sharing"",""แผน!AR23"")"),15000)</f>
        <v>15000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IFERROR(__xludf.DUMMYFUNCTION("IMPORTRANGE(""https://docs.google.com/spreadsheets/d/1eHaY18a8A9IcSdp1K8H6x8fbOy06t2VsZHhMHf-1x7Y/edit?usp=sharing"",""แผน!AS23"")"),1500)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IFERROR(__xludf.DUMMYFUNCTION("IMPORTRANGE(""https://docs.google.com/spreadsheets/d/1eHaY18a8A9IcSdp1K8H6x8fbOy06t2VsZHhMHf-1x7Y/edit?usp=sharing"",""แผน!AT23"")"),0)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IFERROR(__xludf.DUMMYFUNCTION("IMPORTRANGE(""https://docs.google.com/spreadsheets/d/1eHaY18a8A9IcSdp1K8H6x8fbOy06t2VsZHhMHf-1x7Y/edit?usp=sharing"",""แผน!AV23"")"),128000)</f>
        <v>128000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IFERROR(__xludf.DUMMYFUNCTION("IMPORTRANGE(""https://docs.google.com/spreadsheets/d/1eHaY18a8A9IcSdp1K8H6x8fbOy06t2VsZHhMHf-1x7Y/edit?usp=sharing"",""แผน!AV23"")"),128000)</f>
        <v>128000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IFERROR(__xludf.DUMMYFUNCTION("IMPORTRANGE(""https://docs.google.com/spreadsheets/d/1eHaY18a8A9IcSdp1K8H6x8fbOy06t2VsZHhMHf-1x7Y/edit?usp=sharing"",""แผน!AU23"")"),0)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IFERROR(__xludf.DUMMYFUNCTION("IMPORTRANGE(""https://docs.google.com/spreadsheets/d/1eHaY18a8A9IcSdp1K8H6x8fbOy06t2VsZHhMHf-1x7Y/edit?usp=sharing"",""แผน!AX23"")"),0)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IFERROR(__xludf.DUMMYFUNCTION("IMPORTRANGE(""https://docs.google.com/spreadsheets/d/1eHaY18a8A9IcSdp1K8H6x8fbOy06t2VsZHhMHf-1x7Y/edit?usp=sharing"",""แผน!AY23"")"),0)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IFERROR(__xludf.DUMMYFUNCTION("IMPORTRANGE(""https://docs.google.com/spreadsheets/d/1eHaY18a8A9IcSdp1K8H6x8fbOy06t2VsZHhMHf-1x7Y/edit?usp=sharing"",""แผน!AZ23"")"),0)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IFERROR(__xludf.DUMMYFUNCTION("IMPORTRANGE(""https://docs.google.com/spreadsheets/d/1eHaY18a8A9IcSdp1K8H6x8fbOy06t2VsZHhMHf-1x7Y/edit?usp=sharing"",""แผน!BA23"")"),0)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IFERROR(__xludf.DUMMYFUNCTION("IMPORTRANGE(""https://docs.google.com/spreadsheets/d/1eHaY18a8A9IcSdp1K8H6x8fbOy06t2VsZHhMHf-1x7Y/edit?usp=sharing"",""แผน!BG23"")"),0)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IFERROR(__xludf.DUMMYFUNCTION("IMPORTRANGE(""https://docs.google.com/spreadsheets/d/1eHaY18a8A9IcSdp1K8H6x8fbOy06t2VsZHhMHf-1x7Y/edit?usp=sharing"",""แผน!BB23"")"),0)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IFERROR(__xludf.DUMMYFUNCTION("IMPORTRANGE(""https://docs.google.com/spreadsheets/d/1eHaY18a8A9IcSdp1K8H6x8fbOy06t2VsZHhMHf-1x7Y/edit?usp=sharing"",""แผน!BC23"")"),0)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IFERROR(__xludf.DUMMYFUNCTION("IMPORTRANGE(""https://docs.google.com/spreadsheets/d/1eHaY18a8A9IcSdp1K8H6x8fbOy06t2VsZHhMHf-1x7Y/edit?usp=sharing"",""แผน!BD23"")"),0)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IFERROR(__xludf.DUMMYFUNCTION("IMPORTRANGE(""https://docs.google.com/spreadsheets/d/1eHaY18a8A9IcSdp1K8H6x8fbOy06t2VsZHhMHf-1x7Y/edit?usp=sharing"",""แผน!BE23"")"),0)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IFERROR(__xludf.DUMMYFUNCTION("IMPORTRANGE(""https://docs.google.com/spreadsheets/d/1eHaY18a8A9IcSdp1K8H6x8fbOy06t2VsZHhMHf-1x7Y/edit?usp=sharing"",""แผน!BH23"")"),0)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IFERROR(__xludf.DUMMYFUNCTION("IMPORTRANGE(""https://docs.google.com/spreadsheets/d/1-uDff_7J0KD5mKrp0Vvzr7lt3OU09vwQwhkpOPPYv2Y/edit?usp=sharing"",""งบพรบ!DE23"")"),0)</f>
        <v>0</v>
      </c>
      <c r="M271" s="521">
        <f ca="1">IFERROR(__xludf.DUMMYFUNCTION("IMPORTRANGE(""https://docs.google.com/spreadsheets/d/1-uDff_7J0KD5mKrp0Vvzr7lt3OU09vwQwhkpOPPYv2Y/edit?usp=sharing"",""งบพรบ!DJ23"")"),0)</f>
        <v>0</v>
      </c>
      <c r="N271" s="521">
        <f ca="1">IFERROR(__xludf.DUMMYFUNCTION("IMPORTRANGE(""https://docs.google.com/spreadsheets/d/1-uDff_7J0KD5mKrp0Vvzr7lt3OU09vwQwhkpOPPYv2Y/edit?usp=sharing"",""งบพรบ!DL23"")"),0)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IFERROR(__xludf.DUMMYFUNCTION("IMPORTRANGE(""https://docs.google.com/spreadsheets/d/1-uDff_7J0KD5mKrp0Vvzr7lt3OU09vwQwhkpOPPYv2Y/edit?usp=sharing"",""งบพรบ!DH23"")"),0)</f>
        <v>0</v>
      </c>
      <c r="M274" s="521">
        <f ca="1">IFERROR(__xludf.DUMMYFUNCTION("IMPORTRANGE(""https://docs.google.com/spreadsheets/d/1-uDff_7J0KD5mKrp0Vvzr7lt3OU09vwQwhkpOPPYv2Y/edit?usp=sharing"",""งบพรบ!DK23"")"),0)</f>
        <v>0</v>
      </c>
      <c r="N274" s="521">
        <f ca="1">IFERROR(__xludf.DUMMYFUNCTION("IMPORTRANGE(""https://docs.google.com/spreadsheets/d/1-uDff_7J0KD5mKrp0Vvzr7lt3OU09vwQwhkpOPPYv2Y/edit?usp=sharing"",""งบพรบ!DM23"")"),0)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70</v>
      </c>
      <c r="J280" s="629">
        <f>J293</f>
        <v>70</v>
      </c>
      <c r="K280" s="628">
        <f ca="1">IF(I280&gt;0,J280*100/I280,0)</f>
        <v>100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700</v>
      </c>
      <c r="J281" s="629">
        <f>J292</f>
        <v>700</v>
      </c>
      <c r="K281" s="628">
        <f ca="1">IF(I281&gt;0,J281*100/I281,0)</f>
        <v>100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222220</v>
      </c>
      <c r="M282" s="577">
        <f ca="1">M283+M284</f>
        <v>187980</v>
      </c>
      <c r="N282" s="577">
        <f ca="1">N283+N284</f>
        <v>152642.95000000001</v>
      </c>
      <c r="O282" s="577">
        <f ca="1">IF(L282&gt;0,N282*100/L282,0)</f>
        <v>68.690014400144008</v>
      </c>
      <c r="P282" s="577">
        <f ca="1">IF(M282&gt;0,N282*100/M282,0)</f>
        <v>81.201696989041395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222220</v>
      </c>
      <c r="M284" s="425">
        <f ca="1">M287+M290</f>
        <v>187980</v>
      </c>
      <c r="N284" s="425">
        <f ca="1">N287+N290</f>
        <v>152642.95000000001</v>
      </c>
      <c r="O284" s="425">
        <f ca="1">IF(L284&gt;0,N284*100/L284,0)</f>
        <v>68.690014400144008</v>
      </c>
      <c r="P284" s="425">
        <f ca="1">IF(M284&gt;0,N284*100/M284,0)</f>
        <v>81.201696989041395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222220</v>
      </c>
      <c r="M285" s="425">
        <f ca="1">M286+M287</f>
        <v>187980</v>
      </c>
      <c r="N285" s="425">
        <f ca="1">N286+N287</f>
        <v>152642.95000000001</v>
      </c>
      <c r="O285" s="425">
        <f ca="1">IF(L285&gt;0,N285*100/L285,0)</f>
        <v>68.690014400144008</v>
      </c>
      <c r="P285" s="425">
        <f ca="1">IF(M285&gt;0,N285*100/M285,0)</f>
        <v>81.201696989041395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IFERROR(__xludf.DUMMYFUNCTION("IMPORTRANGE(""https://docs.google.com/spreadsheets/d/1-uDff_7J0KD5mKrp0Vvzr7lt3OU09vwQwhkpOPPYv2Y/edit?usp=sharing"",""งบพรบ!DO23"")"),222220)</f>
        <v>222220</v>
      </c>
      <c r="M287" s="425">
        <f ca="1">IFERROR(__xludf.DUMMYFUNCTION("IMPORTRANGE(""https://docs.google.com/spreadsheets/d/1-uDff_7J0KD5mKrp0Vvzr7lt3OU09vwQwhkpOPPYv2Y/edit?usp=sharing"",""งบพรบ!DT23"")"),187980)</f>
        <v>187980</v>
      </c>
      <c r="N287" s="425">
        <f ca="1">IFERROR(__xludf.DUMMYFUNCTION("IMPORTRANGE(""https://docs.google.com/spreadsheets/d/1-uDff_7J0KD5mKrp0Vvzr7lt3OU09vwQwhkpOPPYv2Y/edit?usp=sharing"",""งบพรบ!DV23"")"),152642.95)</f>
        <v>152642.95000000001</v>
      </c>
      <c r="O287" s="425">
        <f ca="1">IF(L287&gt;0,N287*100/L287,0)</f>
        <v>68.690014400144008</v>
      </c>
      <c r="P287" s="425">
        <f ca="1">IF(M287&gt;0,N287*100/M287,0)</f>
        <v>81.201696989041395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IFERROR(__xludf.DUMMYFUNCTION("IMPORTRANGE(""https://docs.google.com/spreadsheets/d/1-uDff_7J0KD5mKrp0Vvzr7lt3OU09vwQwhkpOPPYv2Y/edit?usp=sharing"",""งบพรบ!DR23"")"),0)</f>
        <v>0</v>
      </c>
      <c r="M290" s="425">
        <f ca="1">IFERROR(__xludf.DUMMYFUNCTION("IMPORTRANGE(""https://docs.google.com/spreadsheets/d/1-uDff_7J0KD5mKrp0Vvzr7lt3OU09vwQwhkpOPPYv2Y/edit?usp=sharing"",""งบพรบ!DU23"")"),0)</f>
        <v>0</v>
      </c>
      <c r="N290" s="425">
        <f ca="1">IFERROR(__xludf.DUMMYFUNCTION("IMPORTRANGE(""https://docs.google.com/spreadsheets/d/1-uDff_7J0KD5mKrp0Vvzr7lt3OU09vwQwhkpOPPYv2Y/edit?usp=sharing"",""งบพรบ!DW23"")"),0)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IFERROR(__xludf.DUMMYFUNCTION("IMPORTRANGE(""https://docs.google.com/spreadsheets/d/1eHaY18a8A9IcSdp1K8H6x8fbOy06t2VsZHhMHf-1x7Y/edit?usp=sharing"",""แผน!EE23"")"),700)</f>
        <v>700</v>
      </c>
      <c r="J292" s="595">
        <v>700</v>
      </c>
      <c r="K292" s="621">
        <f ca="1">IF(I292&gt;0,J292*100/I292,0)</f>
        <v>100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IFERROR(__xludf.DUMMYFUNCTION("IMPORTRANGE(""https://docs.google.com/spreadsheets/d/1eHaY18a8A9IcSdp1K8H6x8fbOy06t2VsZHhMHf-1x7Y/edit?usp=sharing"",""แผน!ED23"")"),70)</f>
        <v>70</v>
      </c>
      <c r="J293" s="625">
        <f>J296</f>
        <v>70</v>
      </c>
      <c r="K293" s="624">
        <f ca="1">IF(I293&gt;0,J293*100/I293,0)</f>
        <v>100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IFERROR(__xludf.DUMMYFUNCTION("IMPORTRANGE(""https://docs.google.com/spreadsheets/d/1eHaY18a8A9IcSdp1K8H6x8fbOy06t2VsZHhMHf-1x7Y/edit?usp=sharing"",""แผน!ED23"")"),70)</f>
        <v>70</v>
      </c>
      <c r="J295" s="595">
        <v>70</v>
      </c>
      <c r="K295" s="621">
        <f ca="1">IF(I295&gt;0,J295*100/I295,0)</f>
        <v>100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IFERROR(__xludf.DUMMYFUNCTION("IMPORTRANGE(""https://docs.google.com/spreadsheets/d/1eHaY18a8A9IcSdp1K8H6x8fbOy06t2VsZHhMHf-1x7Y/edit?usp=sharing"",""แผน!ED23"")"),70)</f>
        <v>70</v>
      </c>
      <c r="J296" s="595">
        <v>70</v>
      </c>
      <c r="K296" s="621">
        <f ca="1">IF(I296&gt;0,J296*100/I296,0)</f>
        <v>100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25</v>
      </c>
      <c r="J302" s="598">
        <f>J314</f>
        <v>25</v>
      </c>
      <c r="K302" s="597">
        <f ca="1">IF(I302&gt;0,J302*100/I302,0)</f>
        <v>100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152100</v>
      </c>
      <c r="M303" s="577">
        <f ca="1">M304+M305</f>
        <v>115000</v>
      </c>
      <c r="N303" s="577">
        <f ca="1">N304+N305</f>
        <v>90147</v>
      </c>
      <c r="O303" s="577">
        <f ca="1">IF(L303&gt;0,N303*100/L303,0)</f>
        <v>59.268244575936883</v>
      </c>
      <c r="P303" s="577">
        <f ca="1">IF(M303&gt;0,N303*100/M303,0)</f>
        <v>78.388695652173908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152100</v>
      </c>
      <c r="M305" s="425">
        <f ca="1">M308+M311</f>
        <v>115000</v>
      </c>
      <c r="N305" s="425">
        <f ca="1">N308+N311</f>
        <v>90147</v>
      </c>
      <c r="O305" s="425">
        <f ca="1">IF(L305&gt;0,N305*100/L305,0)</f>
        <v>59.268244575936883</v>
      </c>
      <c r="P305" s="425">
        <f ca="1">IF(M305&gt;0,N305*100/M305,0)</f>
        <v>78.388695652173908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152100</v>
      </c>
      <c r="M306" s="425">
        <f ca="1">M307+M308</f>
        <v>115000</v>
      </c>
      <c r="N306" s="425">
        <f ca="1">N307+N308</f>
        <v>90147</v>
      </c>
      <c r="O306" s="425">
        <f ca="1">IF(L306&gt;0,N306*100/L306,0)</f>
        <v>59.268244575936883</v>
      </c>
      <c r="P306" s="425">
        <f ca="1">IF(M306&gt;0,N306*100/M306,0)</f>
        <v>78.388695652173908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IFERROR(__xludf.DUMMYFUNCTION("IMPORTRANGE(""https://docs.google.com/spreadsheets/d/1-uDff_7J0KD5mKrp0Vvzr7lt3OU09vwQwhkpOPPYv2Y/edit?usp=sharing"",""งบพรบ!DY23"")"),152100)</f>
        <v>152100</v>
      </c>
      <c r="M308" s="425">
        <f ca="1">IFERROR(__xludf.DUMMYFUNCTION("IMPORTRANGE(""https://docs.google.com/spreadsheets/d/1-uDff_7J0KD5mKrp0Vvzr7lt3OU09vwQwhkpOPPYv2Y/edit?usp=sharing"",""งบพรบ!ED23"")"),115000)</f>
        <v>115000</v>
      </c>
      <c r="N308" s="425">
        <f ca="1">IFERROR(__xludf.DUMMYFUNCTION("IMPORTRANGE(""https://docs.google.com/spreadsheets/d/1-uDff_7J0KD5mKrp0Vvzr7lt3OU09vwQwhkpOPPYv2Y/edit?usp=sharing"",""งบพรบ!EF23"")"),90147)</f>
        <v>90147</v>
      </c>
      <c r="O308" s="425">
        <f ca="1">IF(L308&gt;0,N308*100/L308,0)</f>
        <v>59.268244575936883</v>
      </c>
      <c r="P308" s="425">
        <f ca="1">IF(M308&gt;0,N308*100/M308,0)</f>
        <v>78.388695652173908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IFERROR(__xludf.DUMMYFUNCTION("IMPORTRANGE(""https://docs.google.com/spreadsheets/d/1-uDff_7J0KD5mKrp0Vvzr7lt3OU09vwQwhkpOPPYv2Y/edit?usp=sharing"",""งบพรบ!EB23"")"),0)</f>
        <v>0</v>
      </c>
      <c r="M311" s="425">
        <f ca="1">IFERROR(__xludf.DUMMYFUNCTION("IMPORTRANGE(""https://docs.google.com/spreadsheets/d/1-uDff_7J0KD5mKrp0Vvzr7lt3OU09vwQwhkpOPPYv2Y/edit?usp=sharing"",""งบพรบ!EE23"")"),0)</f>
        <v>0</v>
      </c>
      <c r="N311" s="425">
        <f ca="1">IFERROR(__xludf.DUMMYFUNCTION("IMPORTRANGE(""https://docs.google.com/spreadsheets/d/1-uDff_7J0KD5mKrp0Vvzr7lt3OU09vwQwhkpOPPYv2Y/edit?usp=sharing"",""งบพรบ!EG23"")"),0)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1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IFERROR(__xludf.DUMMYFUNCTION("IMPORTRANGE(""https://docs.google.com/spreadsheets/d/1eHaY18a8A9IcSdp1K8H6x8fbOy06t2VsZHhMHf-1x7Y/edit?usp=sharing"",""แผน!EF23"")"),25)</f>
        <v>25</v>
      </c>
      <c r="J314" s="595">
        <v>25</v>
      </c>
      <c r="K314" s="425">
        <f ca="1">IF(I314&gt;0,J314*100/I314,0)</f>
        <v>100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IFERROR(__xludf.DUMMYFUNCTION("IMPORTRANGE(""https://docs.google.com/spreadsheets/d/1eHaY18a8A9IcSdp1K8H6x8fbOy06t2VsZHhMHf-1x7Y/edit?usp=sharing"",""แผน!EG23"")"),5)</f>
        <v>5</v>
      </c>
      <c r="J315" s="595">
        <v>5</v>
      </c>
      <c r="K315" s="425">
        <f ca="1">IF(I315&gt;0,J315*100/I315,0)</f>
        <v>100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IFERROR(__xludf.DUMMYFUNCTION("IMPORTRANGE(""https://docs.google.com/spreadsheets/d/1eHaY18a8A9IcSdp1K8H6x8fbOy06t2VsZHhMHf-1x7Y/edit?usp=sharing"",""แผน!EH23"")"),25)</f>
        <v>25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IFERROR(__xludf.DUMMYFUNCTION("IMPORTRANGE(""https://docs.google.com/spreadsheets/d/1eHaY18a8A9IcSdp1K8H6x8fbOy06t2VsZHhMHf-1x7Y/edit?usp=sharing"",""แผน!EI23"")"),5)</f>
        <v>5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IFERROR(__xludf.DUMMYFUNCTION("IMPORTRANGE(""https://docs.google.com/spreadsheets/d/1-uDff_7J0KD5mKrp0Vvzr7lt3OU09vwQwhkpOPPYv2Y/edit?usp=sharing"",""งบพรบ!EI23"")"),0)</f>
        <v>0</v>
      </c>
      <c r="M325" s="425">
        <f ca="1">IFERROR(__xludf.DUMMYFUNCTION("IMPORTRANGE(""https://docs.google.com/spreadsheets/d/1-uDff_7J0KD5mKrp0Vvzr7lt3OU09vwQwhkpOPPYv2Y/edit?usp=sharing"",""งบพรบ!EN23"")"),0)</f>
        <v>0</v>
      </c>
      <c r="N325" s="425">
        <f ca="1">IFERROR(__xludf.DUMMYFUNCTION("IMPORTRANGE(""https://docs.google.com/spreadsheets/d/1-uDff_7J0KD5mKrp0Vvzr7lt3OU09vwQwhkpOPPYv2Y/edit?usp=sharing"",""งบพรบ!EP23"")"),0)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IFERROR(__xludf.DUMMYFUNCTION("IMPORTRANGE(""https://docs.google.com/spreadsheets/d/1-uDff_7J0KD5mKrp0Vvzr7lt3OU09vwQwhkpOPPYv2Y/edit?usp=sharing"",""งบพรบ!EL23"")"),0)</f>
        <v>0</v>
      </c>
      <c r="M328" s="425">
        <f ca="1">IFERROR(__xludf.DUMMYFUNCTION("IMPORTRANGE(""https://docs.google.com/spreadsheets/d/1-uDff_7J0KD5mKrp0Vvzr7lt3OU09vwQwhkpOPPYv2Y/edit?usp=sharing"",""งบพรบ!EO23"")"),0)</f>
        <v>0</v>
      </c>
      <c r="N328" s="425">
        <f ca="1">IFERROR(__xludf.DUMMYFUNCTION("IMPORTRANGE(""https://docs.google.com/spreadsheets/d/1-uDff_7J0KD5mKrp0Vvzr7lt3OU09vwQwhkpOPPYv2Y/edit?usp=sharing"",""งบพรบ!EQ23"")"),0)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IFERROR(__xludf.DUMMYFUNCTION("IMPORTRANGE(""https://docs.google.com/spreadsheets/d/1eHaY18a8A9IcSdp1K8H6x8fbOy06t2VsZHhMHf-1x7Y/edit?usp=sharing"",""แผน!EJ23"")"),0)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5060</v>
      </c>
      <c r="J332" s="402">
        <f ca="1">J344+J347+J348+J349+J353</f>
        <v>7565</v>
      </c>
      <c r="K332" s="403">
        <f ca="1">IF(I332&gt;0,J332*100/I332,0)</f>
        <v>149.50592885375494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116000</v>
      </c>
      <c r="M333" s="577">
        <f ca="1">M334+M335</f>
        <v>90550</v>
      </c>
      <c r="N333" s="577">
        <f ca="1">N334+N335</f>
        <v>63190</v>
      </c>
      <c r="O333" s="577">
        <f ca="1">IF(L333&gt;0,N333*100/L333,0)</f>
        <v>54.474137931034484</v>
      </c>
      <c r="P333" s="577">
        <f ca="1">IF(M333&gt;0,N333*100/M333,0)</f>
        <v>69.784649364991722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116000</v>
      </c>
      <c r="M335" s="425">
        <f ca="1">M338+M341</f>
        <v>90550</v>
      </c>
      <c r="N335" s="425">
        <f ca="1">N338+N341</f>
        <v>63190</v>
      </c>
      <c r="O335" s="425">
        <f ca="1">IF(L335&gt;0,N335*100/L335,0)</f>
        <v>54.474137931034484</v>
      </c>
      <c r="P335" s="425">
        <f ca="1">IF(M335&gt;0,N335*100/M335,0)</f>
        <v>69.784649364991722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116000</v>
      </c>
      <c r="M336" s="425">
        <f ca="1">M337+M338</f>
        <v>90550</v>
      </c>
      <c r="N336" s="425">
        <f ca="1">N337+N338</f>
        <v>63190</v>
      </c>
      <c r="O336" s="425">
        <f ca="1">IF(L336&gt;0,N336*100/L336,0)</f>
        <v>54.474137931034484</v>
      </c>
      <c r="P336" s="425">
        <f ca="1">IF(M336&gt;0,N336*100/M336,0)</f>
        <v>69.784649364991722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IFERROR(__xludf.DUMMYFUNCTION("IMPORTRANGE(""https://docs.google.com/spreadsheets/d/1-uDff_7J0KD5mKrp0Vvzr7lt3OU09vwQwhkpOPPYv2Y/edit?usp=sharing"",""งบพรบ!ES23"")"),116000)</f>
        <v>116000</v>
      </c>
      <c r="M338" s="425">
        <f ca="1">IFERROR(__xludf.DUMMYFUNCTION("IMPORTRANGE(""https://docs.google.com/spreadsheets/d/1-uDff_7J0KD5mKrp0Vvzr7lt3OU09vwQwhkpOPPYv2Y/edit?usp=sharing"",""งบพรบ!EX23"")"),90550)</f>
        <v>90550</v>
      </c>
      <c r="N338" s="425">
        <f ca="1">IFERROR(__xludf.DUMMYFUNCTION("IMPORTRANGE(""https://docs.google.com/spreadsheets/d/1-uDff_7J0KD5mKrp0Vvzr7lt3OU09vwQwhkpOPPYv2Y/edit?usp=sharing"",""งบพรบ!EZ23"")"),63190)</f>
        <v>63190</v>
      </c>
      <c r="O338" s="425">
        <f ca="1">IF(L338&gt;0,N338*100/L338,0)</f>
        <v>54.474137931034484</v>
      </c>
      <c r="P338" s="425">
        <f ca="1">IF(M338&gt;0,N338*100/M338,0)</f>
        <v>69.784649364991722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IFERROR(__xludf.DUMMYFUNCTION("IMPORTRANGE(""https://docs.google.com/spreadsheets/d/1-uDff_7J0KD5mKrp0Vvzr7lt3OU09vwQwhkpOPPYv2Y/edit?usp=sharing"",""งบพรบ!EV23"")"),0)</f>
        <v>0</v>
      </c>
      <c r="M341" s="425">
        <f ca="1">IFERROR(__xludf.DUMMYFUNCTION("IMPORTRANGE(""https://docs.google.com/spreadsheets/d/1-uDff_7J0KD5mKrp0Vvzr7lt3OU09vwQwhkpOPPYv2Y/edit?usp=sharing"",""งบพรบ!EY23"")"),0)</f>
        <v>0</v>
      </c>
      <c r="N341" s="425">
        <f ca="1">IFERROR(__xludf.DUMMYFUNCTION("IMPORTRANGE(""https://docs.google.com/spreadsheets/d/1-uDff_7J0KD5mKrp0Vvzr7lt3OU09vwQwhkpOPPYv2Y/edit?usp=sharing"",""งบพรบ!FA23"")"),0)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5337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IFERROR(__xludf.DUMMYFUNCTION("IMPORTRANGE(""https://docs.google.com/spreadsheets/d/1eHaY18a8A9IcSdp1K8H6x8fbOy06t2VsZHhMHf-1x7Y/edit?usp=sharing"",""แผน!EK23"")"),5060)</f>
        <v>5060</v>
      </c>
      <c r="J344" s="424">
        <f ca="1">IFERROR(__xludf.DUMMYFUNCTION("IMPORTRANGE(""https://docs.google.com/spreadsheets/d/1awYsYK3VOup2i3Pq_Yjnu8DRu_mYwSBnCR2QPthd0rU/edit?usp=sharing"",""ศูนย์ยกเว้นโฉนด!D23"")"),5123)</f>
        <v>5123</v>
      </c>
      <c r="K344" s="425">
        <f ca="1">IF(I344&gt;0,J344*100/I344,0)</f>
        <v>101.24505928853755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IFERROR(__xludf.DUMMYFUNCTION("IMPORTRANGE(""https://docs.google.com/spreadsheets/d/1eHaY18a8A9IcSdp1K8H6x8fbOy06t2VsZHhMHf-1x7Y/edit?usp=sharing"",""แผน!EL23"")"),5)</f>
        <v>5</v>
      </c>
      <c r="J346" s="424">
        <f ca="1">IFERROR(__xludf.DUMMYFUNCTION("IMPORTRANGE(""https://docs.google.com/spreadsheets/d/1awYsYK3VOup2i3Pq_Yjnu8DRu_mYwSBnCR2QPthd0rU/edit?usp=sharing"",""ศูนย์รวม!E23"")"),1)</f>
        <v>1</v>
      </c>
      <c r="K346" s="425">
        <f ca="1">IF(I346&gt;0,J346*100/I346,0)</f>
        <v>20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IFERROR(__xludf.DUMMYFUNCTION("IMPORTRANGE(""https://docs.google.com/spreadsheets/d/1awYsYK3VOup2i3Pq_Yjnu8DRu_mYwSBnCR2QPthd0rU/edit?usp=sharing"",""ศูนย์ยกเว้นโฉนด!F23"")"),213)</f>
        <v>213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IFERROR(__xludf.DUMMYFUNCTION("IMPORTRANGE(""https://docs.google.com/spreadsheets/d/1awYsYK3VOup2i3Pq_Yjnu8DRu_mYwSBnCR2QPthd0rU/edit?usp=sharing"",""ศูนย์ยกเว้นโฉนด!G23"")"),0)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IFERROR(__xludf.DUMMYFUNCTION("IMPORTRANGE(""https://docs.google.com/spreadsheets/d/1awYsYK3VOup2i3Pq_Yjnu8DRu_mYwSBnCR2QPthd0rU/edit?usp=sharing"",""ศูนย์ยกเว้นโฉนด!H23"")"),1)</f>
        <v>1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3888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IFERROR(__xludf.DUMMYFUNCTION("IMPORTRANGE(""https://docs.google.com/spreadsheets/d/1awYsYK3VOup2i3Pq_Yjnu8DRu_mYwSBnCR2QPthd0rU/edit?usp=sharing"",""โฉนดM3!G23"")"),1660)</f>
        <v>1660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IFERROR(__xludf.DUMMYFUNCTION("IMPORTRANGE(""https://docs.google.com/spreadsheets/d/1awYsYK3VOup2i3Pq_Yjnu8DRu_mYwSBnCR2QPthd0rU/edit?usp=sharing"",""โฉนดM3!H23"")"),2228)</f>
        <v>2228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1188345</v>
      </c>
      <c r="M356" s="577">
        <f ca="1">M357+M358</f>
        <v>1098345</v>
      </c>
      <c r="N356" s="577">
        <f ca="1">N357+N358</f>
        <v>243255</v>
      </c>
      <c r="O356" s="577">
        <f ca="1">IF(L356&gt;0,N356*100/L356,0)</f>
        <v>20.470065511278289</v>
      </c>
      <c r="P356" s="577">
        <f ca="1">IF(M356&gt;0,N356*100/M356,0)</f>
        <v>22.147412698195922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1188345</v>
      </c>
      <c r="M358" s="425">
        <f ca="1">M361+M364</f>
        <v>1098345</v>
      </c>
      <c r="N358" s="425">
        <f ca="1">N361+N364</f>
        <v>243255</v>
      </c>
      <c r="O358" s="425">
        <f ca="1">IF(L358&gt;0,N358*100/L358,0)</f>
        <v>20.470065511278289</v>
      </c>
      <c r="P358" s="425">
        <f ca="1">IF(M358&gt;0,N358*100/M358,0)</f>
        <v>22.147412698195922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1188345</v>
      </c>
      <c r="M359" s="425">
        <f ca="1">M360+M361</f>
        <v>1098345</v>
      </c>
      <c r="N359" s="425">
        <f ca="1">N360+N361</f>
        <v>243255</v>
      </c>
      <c r="O359" s="425">
        <f ca="1">IF(L359&gt;0,N359*100/L359,0)</f>
        <v>20.470065511278289</v>
      </c>
      <c r="P359" s="425">
        <f ca="1">IF(M359&gt;0,N359*100/M359,0)</f>
        <v>22.147412698195922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IFERROR(__xludf.DUMMYFUNCTION("IMPORTRANGE(""https://docs.google.com/spreadsheets/d/1-uDff_7J0KD5mKrp0Vvzr7lt3OU09vwQwhkpOPPYv2Y/edit?usp=sharing"",""งบพรบ!FC23"")"),1188345)</f>
        <v>1188345</v>
      </c>
      <c r="M361" s="425">
        <f ca="1">IFERROR(__xludf.DUMMYFUNCTION("IMPORTRANGE(""https://docs.google.com/spreadsheets/d/1-uDff_7J0KD5mKrp0Vvzr7lt3OU09vwQwhkpOPPYv2Y/edit?usp=sharing"",""งบพรบ!FH23"")"),1098345)</f>
        <v>1098345</v>
      </c>
      <c r="N361" s="425">
        <f ca="1">IFERROR(__xludf.DUMMYFUNCTION("IMPORTRANGE(""https://docs.google.com/spreadsheets/d/1-uDff_7J0KD5mKrp0Vvzr7lt3OU09vwQwhkpOPPYv2Y/edit?usp=sharing"",""งบพรบ!FJ23"")"),243255)</f>
        <v>243255</v>
      </c>
      <c r="O361" s="425">
        <f ca="1">IF(L361&gt;0,N361*100/L361,0)</f>
        <v>20.470065511278289</v>
      </c>
      <c r="P361" s="425">
        <f ca="1">IF(M361&gt;0,N361*100/M361,0)</f>
        <v>22.147412698195922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IFERROR(__xludf.DUMMYFUNCTION("IMPORTRANGE(""https://docs.google.com/spreadsheets/d/1-uDff_7J0KD5mKrp0Vvzr7lt3OU09vwQwhkpOPPYv2Y/edit?usp=sharing"",""งบพรบ!FF23"")"),0)</f>
        <v>0</v>
      </c>
      <c r="M364" s="425">
        <f ca="1">IFERROR(__xludf.DUMMYFUNCTION("IMPORTRANGE(""https://docs.google.com/spreadsheets/d/1-uDff_7J0KD5mKrp0Vvzr7lt3OU09vwQwhkpOPPYv2Y/edit?usp=sharing"",""งบพรบ!FI23"")"),0)</f>
        <v>0</v>
      </c>
      <c r="N364" s="425">
        <f ca="1">IFERROR(__xludf.DUMMYFUNCTION("IMPORTRANGE(""https://docs.google.com/spreadsheets/d/1-uDff_7J0KD5mKrp0Vvzr7lt3OU09vwQwhkpOPPYv2Y/edit?usp=sharing"",""งบพรบ!FK23"")"),0)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1095</v>
      </c>
      <c r="J365" s="438">
        <f ca="1">J371</f>
        <v>44</v>
      </c>
      <c r="K365" s="439">
        <f ca="1">IF(I365&gt;0,J365*100/I365,0)</f>
        <v>4.0182648401826482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IFERROR(__xludf.DUMMYFUNCTION("IMPORTRANGE(""https://docs.google.com/spreadsheets/d/1tdoBKaGub7dwA3U6UFTqxio9LNnvDCQjHKmttSEBsFQ/edit?usp=sharing"",""จัดที่ดิน!AB23"")"),1)</f>
        <v>1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IFERROR(__xludf.DUMMYFUNCTION("IMPORTRANGE(""https://docs.google.com/spreadsheets/d/1eHaY18a8A9IcSdp1K8H6x8fbOy06t2VsZHhMHf-1x7Y/edit?usp=sharing"",""แผน!EW23"")"),8200)</f>
        <v>8200</v>
      </c>
      <c r="J368" s="565">
        <f ca="1">IFERROR(__xludf.DUMMYFUNCTION("IMPORTRANGE(""https://docs.google.com/spreadsheets/d/1tdoBKaGub7dwA3U6UFTqxio9LNnvDCQjHKmttSEBsFQ/edit?usp=sharing"",""จัดที่ดิน!AC23"")"),8.39)</f>
        <v>8.39</v>
      </c>
      <c r="K368" s="425">
        <f ca="1">IF(I368&gt;0,J368*100/I368,0)</f>
        <v>0.1023170731707317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IFERROR(__xludf.DUMMYFUNCTION("IMPORTRANGE(""https://docs.google.com/spreadsheets/d/1eHaY18a8A9IcSdp1K8H6x8fbOy06t2VsZHhMHf-1x7Y/edit?usp=sharing"",""แผน!EX23"")"),1490)</f>
        <v>1490</v>
      </c>
      <c r="J369" s="424">
        <f ca="1">IFERROR(__xludf.DUMMYFUNCTION("IMPORTRANGE(""https://docs.google.com/spreadsheets/d/1tdoBKaGub7dwA3U6UFTqxio9LNnvDCQjHKmttSEBsFQ/edit?usp=sharing"",""จัดที่ดิน!AD23"")"),50)</f>
        <v>50</v>
      </c>
      <c r="K369" s="425">
        <f ca="1">IF(I369&gt;0,J369*100/I369,0)</f>
        <v>3.3557046979865772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IFERROR(__xludf.DUMMYFUNCTION("IMPORTRANGE(""https://docs.google.com/spreadsheets/d/1tdoBKaGub7dwA3U6UFTqxio9LNnvDCQjHKmttSEBsFQ/edit?usp=sharing"",""จัดที่ดิน!AE23"")"),802.6)</f>
        <v>802.6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IFERROR(__xludf.DUMMYFUNCTION("IMPORTRANGE(""https://docs.google.com/spreadsheets/d/1eHaY18a8A9IcSdp1K8H6x8fbOy06t2VsZHhMHf-1x7Y/edit?usp=sharing"",""แผน!EY23"")"),1095)</f>
        <v>1095</v>
      </c>
      <c r="J371" s="424">
        <f ca="1">IFERROR(__xludf.DUMMYFUNCTION("IMPORTRANGE(""https://docs.google.com/spreadsheets/d/1tdoBKaGub7dwA3U6UFTqxio9LNnvDCQjHKmttSEBsFQ/edit?usp=sharing"",""จัดที่ดิน!AF23"")"),44)</f>
        <v>44</v>
      </c>
      <c r="K371" s="425">
        <f ca="1">IF(I371&gt;0,J371*100/I371,0)</f>
        <v>4.0182648401826482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IFERROR(__xludf.DUMMYFUNCTION("IMPORTRANGE(""https://docs.google.com/spreadsheets/d/1tdoBKaGub7dwA3U6UFTqxio9LNnvDCQjHKmttSEBsFQ/edit?usp=sharing"",""จัดที่ดิน!AG23"")"),744.65)</f>
        <v>744.65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IFERROR(__xludf.DUMMYFUNCTION("IMPORTRANGE(""https://docs.google.com/spreadsheets/d/1-uDff_7J0KD5mKrp0Vvzr7lt3OU09vwQwhkpOPPYv2Y/edit?usp=sharing"",""งบพรบ!FM23"")"),0)</f>
        <v>0</v>
      </c>
      <c r="M382" s="521">
        <f ca="1">IFERROR(__xludf.DUMMYFUNCTION("IMPORTRANGE(""https://docs.google.com/spreadsheets/d/1-uDff_7J0KD5mKrp0Vvzr7lt3OU09vwQwhkpOPPYv2Y/edit?usp=sharing"",""งบพรบ!FR23"")"),0)</f>
        <v>0</v>
      </c>
      <c r="N382" s="521">
        <f ca="1">IFERROR(__xludf.DUMMYFUNCTION("IMPORTRANGE(""https://docs.google.com/spreadsheets/d/1-uDff_7J0KD5mKrp0Vvzr7lt3OU09vwQwhkpOPPYv2Y/edit?usp=sharing"",""งบพรบ!FT23"")"),0)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IFERROR(__xludf.DUMMYFUNCTION("IMPORTRANGE(""https://docs.google.com/spreadsheets/d/1-uDff_7J0KD5mKrp0Vvzr7lt3OU09vwQwhkpOPPYv2Y/edit?usp=sharing"",""งบพรบ!FP23"")"),0)</f>
        <v>0</v>
      </c>
      <c r="M385" s="521">
        <f ca="1">IFERROR(__xludf.DUMMYFUNCTION("IMPORTRANGE(""https://docs.google.com/spreadsheets/d/1-uDff_7J0KD5mKrp0Vvzr7lt3OU09vwQwhkpOPPYv2Y/edit?usp=sharing"",""งบพรบ!FS23"")"),0)</f>
        <v>0</v>
      </c>
      <c r="N385" s="521">
        <f ca="1">IFERROR(__xludf.DUMMYFUNCTION("IMPORTRANGE(""https://docs.google.com/spreadsheets/d/1-uDff_7J0KD5mKrp0Vvzr7lt3OU09vwQwhkpOPPYv2Y/edit?usp=sharing"",""งบพรบ!FU23"")"),0)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A92A-47FB-42E2-8FD7-B4A5D639B057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28515625" bestFit="1" customWidth="1"/>
    <col min="10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175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1753895</v>
      </c>
      <c r="M18" s="704">
        <f ca="1">M19+M20</f>
        <v>1550655</v>
      </c>
      <c r="N18" s="704">
        <f ca="1">N19+N20</f>
        <v>619419.9</v>
      </c>
      <c r="O18" s="704">
        <f ca="1">IF(L18&gt;0,N18*100/L18,0)</f>
        <v>35.316817711436542</v>
      </c>
      <c r="P18" s="704">
        <f ca="1">IF(M18&gt;0,N18*100/M18,0)</f>
        <v>39.945693916441762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1753895</v>
      </c>
      <c r="M20" s="817">
        <f ca="1">M23+M26</f>
        <v>1550655</v>
      </c>
      <c r="N20" s="817">
        <f ca="1">N23+N26</f>
        <v>619419.9</v>
      </c>
      <c r="O20" s="817">
        <f ca="1">IF(L20&gt;0,N20*100/L20,0)</f>
        <v>35.316817711436542</v>
      </c>
      <c r="P20" s="817">
        <f ca="1">IF(M20&gt;0,N20*100/M20,0)</f>
        <v>39.945693916441762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1753895</v>
      </c>
      <c r="M21" s="425">
        <f ca="1">M22+M23</f>
        <v>1550655</v>
      </c>
      <c r="N21" s="425">
        <f ca="1">N22+N23</f>
        <v>619419.9</v>
      </c>
      <c r="O21" s="425">
        <f ca="1">IF(L21&gt;0,N21*100/L21,0)</f>
        <v>35.316817711436542</v>
      </c>
      <c r="P21" s="425">
        <f ca="1">IF(M21&gt;0,N21*100/M21,0)</f>
        <v>39.945693916441762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1753895</v>
      </c>
      <c r="M23" s="425">
        <f ca="1">M49+M64+M77+M99+M130+M144+M162+M191+M178+M271+M287+M308+M325+M338+M361+M382</f>
        <v>1550655</v>
      </c>
      <c r="N23" s="425">
        <f ca="1">N49+N64+N77+N99+N130+N144+N162+N191+N178+N271+N287+N308+N325+N338+N361+N382</f>
        <v>619419.9</v>
      </c>
      <c r="O23" s="425">
        <f ca="1">IF(L23&gt;0,N23*100/L23,0)</f>
        <v>35.316817711436542</v>
      </c>
      <c r="P23" s="425">
        <f ca="1">IF(M23&gt;0,N23*100/M23,0)</f>
        <v>39.945693916441762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1753895</v>
      </c>
      <c r="M40" s="809">
        <f ca="1">M44+M59+M72+M94+M125+M139+M157+M173+M186+M266+M282+M303+M320+M333+M356</f>
        <v>1550655</v>
      </c>
      <c r="N40" s="809">
        <f ca="1">N44+N59+N72+N94+N125+N139+N157+N173+N186+N266+N282+N303+N320+N333+N356</f>
        <v>619419.9</v>
      </c>
      <c r="O40" s="809">
        <f ca="1">IF(L40&gt;0,N40*100/L40,0)</f>
        <v>35.316817711436542</v>
      </c>
      <c r="P40" s="809">
        <f ca="1">IF(M40&gt;0,N40*100/M40,0)</f>
        <v>39.945693916441762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424800</v>
      </c>
      <c r="M44" s="794">
        <f ca="1">M45+M46</f>
        <v>424800</v>
      </c>
      <c r="N44" s="794">
        <f ca="1">N45+N46</f>
        <v>150100</v>
      </c>
      <c r="O44" s="794">
        <f ca="1">IF(L44&gt;0,N44*100/L44,0)</f>
        <v>35.334274952919017</v>
      </c>
      <c r="P44" s="794">
        <f ca="1">IF(M44&gt;0,N44*100/M44,0)</f>
        <v>35.334274952919017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424800</v>
      </c>
      <c r="M46" s="783">
        <f ca="1">M49+M52</f>
        <v>424800</v>
      </c>
      <c r="N46" s="783">
        <f ca="1">N49+N52</f>
        <v>150100</v>
      </c>
      <c r="O46" s="783">
        <f ca="1">IF(L46&gt;0,N46*100/L46,0)</f>
        <v>35.334274952919017</v>
      </c>
      <c r="P46" s="783">
        <f ca="1">IF(M46&gt;0,N46*100/M46,0)</f>
        <v>35.334274952919017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424800</v>
      </c>
      <c r="M47" s="425">
        <f ca="1">M48+M49</f>
        <v>424800</v>
      </c>
      <c r="N47" s="425">
        <f ca="1">N48+N49</f>
        <v>150100</v>
      </c>
      <c r="O47" s="425">
        <f ca="1">IF(L47&gt;0,N47*100/L47,0)</f>
        <v>35.334274952919017</v>
      </c>
      <c r="P47" s="425">
        <f ca="1">IF(M47&gt;0,N47*100/M47,0)</f>
        <v>35.334274952919017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IFERROR(__xludf.DUMMYFUNCTION("IMPORTRANGE(""https://docs.google.com/spreadsheets/d/1-uDff_7J0KD5mKrp0Vvzr7lt3OU09vwQwhkpOPPYv2Y/edit?usp=sharing"",""งบพรบ!P24"")"),424800)</f>
        <v>424800</v>
      </c>
      <c r="M49" s="425">
        <f ca="1">IFERROR(__xludf.DUMMYFUNCTION("IMPORTRANGE(""https://docs.google.com/spreadsheets/d/1-uDff_7J0KD5mKrp0Vvzr7lt3OU09vwQwhkpOPPYv2Y/edit?usp=sharing"",""งบพรบ!V24"")"),424800)</f>
        <v>424800</v>
      </c>
      <c r="N49" s="425">
        <f ca="1">IFERROR(__xludf.DUMMYFUNCTION("IMPORTRANGE(""https://docs.google.com/spreadsheets/d/1-uDff_7J0KD5mKrp0Vvzr7lt3OU09vwQwhkpOPPYv2Y/edit?usp=sharing"",""งบพรบ!Y24"")"),150100)</f>
        <v>150100</v>
      </c>
      <c r="O49" s="425">
        <f ca="1">IF(L49&gt;0,N49*100/L49,0)</f>
        <v>35.334274952919017</v>
      </c>
      <c r="P49" s="425">
        <f ca="1">IF(M49&gt;0,N49*100/M49,0)</f>
        <v>35.334274952919017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IFERROR(__xludf.DUMMYFUNCTION("IMPORTRANGE(""https://docs.google.com/spreadsheets/d/1-uDff_7J0KD5mKrp0Vvzr7lt3OU09vwQwhkpOPPYv2Y/edit?usp=sharing"",""งบพรบ!S24"")"),0)</f>
        <v>0</v>
      </c>
      <c r="M52" s="425">
        <f ca="1">IFERROR(__xludf.DUMMYFUNCTION("IMPORTRANGE(""https://docs.google.com/spreadsheets/d/1-uDff_7J0KD5mKrp0Vvzr7lt3OU09vwQwhkpOPPYv2Y/edit?usp=sharing"",""งบพรบ!W24"")"),0)</f>
        <v>0</v>
      </c>
      <c r="N52" s="425">
        <f ca="1">IFERROR(__xludf.DUMMYFUNCTION("IMPORTRANGE(""https://docs.google.com/spreadsheets/d/1-uDff_7J0KD5mKrp0Vvzr7lt3OU09vwQwhkpOPPYv2Y/edit?usp=sharing"",""งบพรบ!Z24"")"),0)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417500</v>
      </c>
      <c r="M59" s="763">
        <f ca="1">M60+M61</f>
        <v>315150</v>
      </c>
      <c r="N59" s="763">
        <f ca="1">N60+N61</f>
        <v>241300.9</v>
      </c>
      <c r="O59" s="763">
        <f ca="1">IF(L59&gt;0,N59*100/L59,0)</f>
        <v>57.796622754491018</v>
      </c>
      <c r="P59" s="763">
        <f ca="1">IF(M59&gt;0,N59*100/M59,0)</f>
        <v>76.566999841345392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417500</v>
      </c>
      <c r="M61" s="752">
        <f ca="1">M64+M67</f>
        <v>315150</v>
      </c>
      <c r="N61" s="752">
        <f ca="1">N64+N67</f>
        <v>241300.9</v>
      </c>
      <c r="O61" s="752">
        <f ca="1">IF(L61&gt;0,N61*100/L61,0)</f>
        <v>57.796622754491018</v>
      </c>
      <c r="P61" s="752">
        <f ca="1">IF(M61&gt;0,N61*100/M61,0)</f>
        <v>76.566999841345392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417500</v>
      </c>
      <c r="M62" s="425">
        <f ca="1">M63+M64</f>
        <v>315150</v>
      </c>
      <c r="N62" s="425">
        <f ca="1">N63+N64</f>
        <v>241300.9</v>
      </c>
      <c r="O62" s="425">
        <f ca="1">IF(L62&gt;0,N62*100/L62,0)</f>
        <v>57.796622754491018</v>
      </c>
      <c r="P62" s="425">
        <f ca="1">IF(M62&gt;0,N62*100/M62,0)</f>
        <v>76.566999841345392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IFERROR(__xludf.DUMMYFUNCTION("IMPORTRANGE(""https://docs.google.com/spreadsheets/d/1-uDff_7J0KD5mKrp0Vvzr7lt3OU09vwQwhkpOPPYv2Y/edit?usp=sharing"",""งบพรบ!AC24"")"),417500)</f>
        <v>417500</v>
      </c>
      <c r="M64" s="425">
        <f ca="1">IFERROR(__xludf.DUMMYFUNCTION("IMPORTRANGE(""https://docs.google.com/spreadsheets/d/1-uDff_7J0KD5mKrp0Vvzr7lt3OU09vwQwhkpOPPYv2Y/edit?usp=sharing"",""งบพรบ!AH24"")"),315150)</f>
        <v>315150</v>
      </c>
      <c r="N64" s="425">
        <f ca="1">IFERROR(__xludf.DUMMYFUNCTION("IMPORTRANGE(""https://docs.google.com/spreadsheets/d/1-uDff_7J0KD5mKrp0Vvzr7lt3OU09vwQwhkpOPPYv2Y/edit?usp=sharing"",""งบพรบ!AJ24"")"),241300.9)</f>
        <v>241300.9</v>
      </c>
      <c r="O64" s="425">
        <f ca="1">IF(L64&gt;0,N64*100/L64,0)</f>
        <v>57.796622754491018</v>
      </c>
      <c r="P64" s="425">
        <f ca="1">IF(M64&gt;0,N64*100/M64,0)</f>
        <v>76.566999841345392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IFERROR(__xludf.DUMMYFUNCTION("IMPORTRANGE(""https://docs.google.com/spreadsheets/d/1-uDff_7J0KD5mKrp0Vvzr7lt3OU09vwQwhkpOPPYv2Y/edit?usp=sharing"",""งบพรบ!AF24"")"),0)</f>
        <v>0</v>
      </c>
      <c r="M67" s="747">
        <f ca="1">IFERROR(__xludf.DUMMYFUNCTION("IMPORTRANGE(""https://docs.google.com/spreadsheets/d/1-uDff_7J0KD5mKrp0Vvzr7lt3OU09vwQwhkpOPPYv2Y/edit?usp=sharing"",""งบพรบ!AI24"")"),0)</f>
        <v>0</v>
      </c>
      <c r="N67" s="747">
        <f ca="1">IFERROR(__xludf.DUMMYFUNCTION("IMPORTRANGE(""https://docs.google.com/spreadsheets/d/1-uDff_7J0KD5mKrp0Vvzr7lt3OU09vwQwhkpOPPYv2Y/edit?usp=sharing"",""งบพรบ!AK24"")"),0)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IFERROR(__xludf.DUMMYFUNCTION("IMPORTRANGE(""https://docs.google.com/spreadsheets/d/1-uDff_7J0KD5mKrp0Vvzr7lt3OU09vwQwhkpOPPYv2Y/edit?usp=sharing"",""งบพรบ!AM24"")"),0)</f>
        <v>0</v>
      </c>
      <c r="M77" s="425">
        <f ca="1">IFERROR(__xludf.DUMMYFUNCTION("IMPORTRANGE(""https://docs.google.com/spreadsheets/d/1-uDff_7J0KD5mKrp0Vvzr7lt3OU09vwQwhkpOPPYv2Y/edit?usp=sharing"",""งบพรบ!AR24"")"),0)</f>
        <v>0</v>
      </c>
      <c r="N77" s="425">
        <f ca="1">IFERROR(__xludf.DUMMYFUNCTION("IMPORTRANGE(""https://docs.google.com/spreadsheets/d/1-uDff_7J0KD5mKrp0Vvzr7lt3OU09vwQwhkpOPPYv2Y/edit?usp=sharing"",""งบพรบ!AT24"")"),0)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IFERROR(__xludf.DUMMYFUNCTION("IMPORTRANGE(""https://docs.google.com/spreadsheets/d/1-uDff_7J0KD5mKrp0Vvzr7lt3OU09vwQwhkpOPPYv2Y/edit?usp=sharing"",""งบพรบ!AP24"")"),0)</f>
        <v>0</v>
      </c>
      <c r="M80" s="425">
        <f ca="1">IFERROR(__xludf.DUMMYFUNCTION("IMPORTRANGE(""https://docs.google.com/spreadsheets/d/1-uDff_7J0KD5mKrp0Vvzr7lt3OU09vwQwhkpOPPYv2Y/edit?usp=sharing"",""งบพรบ!AS24"")"),0)</f>
        <v>0</v>
      </c>
      <c r="N80" s="425">
        <f ca="1">IFERROR(__xludf.DUMMYFUNCTION("IMPORTRANGE(""https://docs.google.com/spreadsheets/d/1-uDff_7J0KD5mKrp0Vvzr7lt3OU09vwQwhkpOPPYv2Y/edit?usp=sharing"",""งบพรบ!AU24"")"),0)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IFERROR(__xludf.DUMMYFUNCTION("IMPORTRANGE(""https://docs.google.com/spreadsheets/d/1eHaY18a8A9IcSdp1K8H6x8fbOy06t2VsZHhMHf-1x7Y/edit?usp=sharing"",""แผน!H24"")"),0)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IFERROR(__xludf.DUMMYFUNCTION("IMPORTRANGE(""https://docs.google.com/spreadsheets/d/1eHaY18a8A9IcSdp1K8H6x8fbOy06t2VsZHhMHf-1x7Y/edit?usp=sharing"",""แผน!I24"")"),0)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IFERROR(__xludf.DUMMYFUNCTION("IMPORTRANGE(""https://docs.google.com/spreadsheets/d/1eHaY18a8A9IcSdp1K8H6x8fbOy06t2VsZHhMHf-1x7Y/edit?usp=sharing"",""แผน!F24"")"),0)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IFERROR(__xludf.DUMMYFUNCTION("IMPORTRANGE(""https://docs.google.com/spreadsheets/d/1eHaY18a8A9IcSdp1K8H6x8fbOy06t2VsZHhMHf-1x7Y/edit?usp=sharing"",""แผน!G24"")"),0)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IFERROR(__xludf.DUMMYFUNCTION("IMPORTRANGE(""https://docs.google.com/spreadsheets/d/1eHaY18a8A9IcSdp1K8H6x8fbOy06t2VsZHhMHf-1x7Y/edit?usp=sharing"",""แผน!D24"")"),0)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IFERROR(__xludf.DUMMYFUNCTION("IMPORTRANGE(""https://docs.google.com/spreadsheets/d/1eHaY18a8A9IcSdp1K8H6x8fbOy06t2VsZHhMHf-1x7Y/edit?usp=sharing"",""แผน!E24"")"),0)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IFERROR(__xludf.DUMMYFUNCTION("IMPORTRANGE(""https://docs.google.com/spreadsheets/d/1eHaY18a8A9IcSdp1K8H6x8fbOy06t2VsZHhMHf-1x7Y/edit?usp=sharing"",""แผน!J24"")"),0)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IFERROR(__xludf.DUMMYFUNCTION("IMPORTRANGE(""https://docs.google.com/spreadsheets/d/1-uDff_7J0KD5mKrp0Vvzr7lt3OU09vwQwhkpOPPYv2Y/edit?usp=sharing"",""งบพรบ!AW24"")"),0)</f>
        <v>0</v>
      </c>
      <c r="M99" s="425">
        <f ca="1">IFERROR(__xludf.DUMMYFUNCTION("IMPORTRANGE(""https://docs.google.com/spreadsheets/d/1-uDff_7J0KD5mKrp0Vvzr7lt3OU09vwQwhkpOPPYv2Y/edit?usp=sharing"",""งบพรบ!BB24"")"),0)</f>
        <v>0</v>
      </c>
      <c r="N99" s="425">
        <f ca="1">IFERROR(__xludf.DUMMYFUNCTION("IMPORTRANGE(""https://docs.google.com/spreadsheets/d/1-uDff_7J0KD5mKrp0Vvzr7lt3OU09vwQwhkpOPPYv2Y/edit?usp=sharing"",""งบพรบ!BD24"")"),0)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IFERROR(__xludf.DUMMYFUNCTION("IMPORTRANGE(""https://docs.google.com/spreadsheets/d/1-uDff_7J0KD5mKrp0Vvzr7lt3OU09vwQwhkpOPPYv2Y/edit?usp=sharing"",""งบพรบ!AZ24"")"),0)</f>
        <v>0</v>
      </c>
      <c r="M102" s="425">
        <f ca="1">IFERROR(__xludf.DUMMYFUNCTION("IMPORTRANGE(""https://docs.google.com/spreadsheets/d/1-uDff_7J0KD5mKrp0Vvzr7lt3OU09vwQwhkpOPPYv2Y/edit?usp=sharing"",""งบพรบ!BC24"")"),0)</f>
        <v>0</v>
      </c>
      <c r="N102" s="425">
        <f ca="1">IFERROR(__xludf.DUMMYFUNCTION("IMPORTRANGE(""https://docs.google.com/spreadsheets/d/1-uDff_7J0KD5mKrp0Vvzr7lt3OU09vwQwhkpOPPYv2Y/edit?usp=sharing"",""งบพรบ!BE24"")"),0)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IFERROR(__xludf.DUMMYFUNCTION("IMPORTRANGE(""https://docs.google.com/spreadsheets/d/1eHaY18a8A9IcSdp1K8H6x8fbOy06t2VsZHhMHf-1x7Y/edit?usp=sharing"",""แผน!N24"")"),0)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IFERROR(__xludf.DUMMYFUNCTION("IMPORTRANGE(""https://docs.google.com/spreadsheets/d/1eHaY18a8A9IcSdp1K8H6x8fbOy06t2VsZHhMHf-1x7Y/edit?usp=sharing"",""แผน!O24"")"),0)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IFERROR(__xludf.DUMMYFUNCTION("IMPORTRANGE(""https://docs.google.com/spreadsheets/d/1eHaY18a8A9IcSdp1K8H6x8fbOy06t2VsZHhMHf-1x7Y/edit?usp=sharing"",""แผน!R24"")"),0)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IFERROR(__xludf.DUMMYFUNCTION("IMPORTRANGE(""https://docs.google.com/spreadsheets/d/1-uDff_7J0KD5mKrp0Vvzr7lt3OU09vwQwhkpOPPYv2Y/edit?usp=sharing"",""งบพรบ!BG24"")"),0)</f>
        <v>0</v>
      </c>
      <c r="M130" s="723">
        <f ca="1">IFERROR(__xludf.DUMMYFUNCTION("IMPORTRANGE(""https://docs.google.com/spreadsheets/d/1-uDff_7J0KD5mKrp0Vvzr7lt3OU09vwQwhkpOPPYv2Y/edit?usp=sharing"",""งบพรบ!BL24"")"),0)</f>
        <v>0</v>
      </c>
      <c r="N130" s="723">
        <f ca="1">IFERROR(__xludf.DUMMYFUNCTION("IMPORTRANGE(""https://docs.google.com/spreadsheets/d/1-uDff_7J0KD5mKrp0Vvzr7lt3OU09vwQwhkpOPPYv2Y/edit?usp=sharing"",""งบพรบ!BN24"")"),0)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IFERROR(__xludf.DUMMYFUNCTION("IMPORTRANGE(""https://docs.google.com/spreadsheets/d/1-uDff_7J0KD5mKrp0Vvzr7lt3OU09vwQwhkpOPPYv2Y/edit?usp=sharing"",""งบพรบ!BJ24"")"),0)</f>
        <v>0</v>
      </c>
      <c r="M133" s="723">
        <f ca="1">IFERROR(__xludf.DUMMYFUNCTION("IMPORTRANGE(""https://docs.google.com/spreadsheets/d/1-uDff_7J0KD5mKrp0Vvzr7lt3OU09vwQwhkpOPPYv2Y/edit?usp=sharing"",""งบพรบ!BM24"")"),0)</f>
        <v>0</v>
      </c>
      <c r="N133" s="723">
        <f ca="1">IFERROR(__xludf.DUMMYFUNCTION("IMPORTRANGE(""https://docs.google.com/spreadsheets/d/1-uDff_7J0KD5mKrp0Vvzr7lt3OU09vwQwhkpOPPYv2Y/edit?usp=sharing"",""งบพรบ!BO24"")"),0)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1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60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6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164700</v>
      </c>
      <c r="M139" s="577">
        <f ca="1">M140+M141</f>
        <v>136600</v>
      </c>
      <c r="N139" s="577">
        <f ca="1">N140+N141</f>
        <v>19550</v>
      </c>
      <c r="O139" s="577">
        <f ca="1">IF(L139&gt;0,N139*100/L139,0)</f>
        <v>11.870066788099574</v>
      </c>
      <c r="P139" s="577">
        <f ca="1">IF(M139&gt;0,N139*100/M139,0)</f>
        <v>14.31185944363104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164700</v>
      </c>
      <c r="M141" s="425">
        <f ca="1">M144+M147</f>
        <v>136600</v>
      </c>
      <c r="N141" s="425">
        <f ca="1">N144+N147</f>
        <v>19550</v>
      </c>
      <c r="O141" s="425">
        <f ca="1">IF(L141&gt;0,N141*100/L141,0)</f>
        <v>11.870066788099574</v>
      </c>
      <c r="P141" s="425">
        <f ca="1">IF(M141&gt;0,N141*100/M141,0)</f>
        <v>14.31185944363104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164700</v>
      </c>
      <c r="M142" s="425">
        <f ca="1">M143+M144</f>
        <v>136600</v>
      </c>
      <c r="N142" s="425">
        <f ca="1">N143+N144</f>
        <v>19550</v>
      </c>
      <c r="O142" s="425">
        <f ca="1">IF(L142&gt;0,N142*100/L142,0)</f>
        <v>11.870066788099574</v>
      </c>
      <c r="P142" s="425">
        <f ca="1">IF(M142&gt;0,N142*100/M142,0)</f>
        <v>14.31185944363104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IFERROR(__xludf.DUMMYFUNCTION("IMPORTRANGE(""https://docs.google.com/spreadsheets/d/1-uDff_7J0KD5mKrp0Vvzr7lt3OU09vwQwhkpOPPYv2Y/edit?usp=sharing"",""งบพรบ!BQ24"")"),164700)</f>
        <v>164700</v>
      </c>
      <c r="M144" s="425">
        <f ca="1">IFERROR(__xludf.DUMMYFUNCTION("IMPORTRANGE(""https://docs.google.com/spreadsheets/d/1-uDff_7J0KD5mKrp0Vvzr7lt3OU09vwQwhkpOPPYv2Y/edit?usp=sharing"",""งบพรบ!BV24"")"),136600)</f>
        <v>136600</v>
      </c>
      <c r="N144" s="425">
        <f ca="1">IFERROR(__xludf.DUMMYFUNCTION("IMPORTRANGE(""https://docs.google.com/spreadsheets/d/1-uDff_7J0KD5mKrp0Vvzr7lt3OU09vwQwhkpOPPYv2Y/edit?usp=sharing"",""งบพรบ!BX24"")"),19550)</f>
        <v>19550</v>
      </c>
      <c r="O144" s="425">
        <f ca="1">IF(L144&gt;0,N144*100/L144,0)</f>
        <v>11.870066788099574</v>
      </c>
      <c r="P144" s="425">
        <f ca="1">IF(M144&gt;0,N144*100/M144,0)</f>
        <v>14.31185944363104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IFERROR(__xludf.DUMMYFUNCTION("IMPORTRANGE(""https://docs.google.com/spreadsheets/d/1-uDff_7J0KD5mKrp0Vvzr7lt3OU09vwQwhkpOPPYv2Y/edit?usp=sharing"",""งบพรบ!BT24"")"),0)</f>
        <v>0</v>
      </c>
      <c r="M147" s="425">
        <f ca="1">IFERROR(__xludf.DUMMYFUNCTION("IMPORTRANGE(""https://docs.google.com/spreadsheets/d/1-uDff_7J0KD5mKrp0Vvzr7lt3OU09vwQwhkpOPPYv2Y/edit?usp=sharing"",""งบพรบ!BW24"")"),0)</f>
        <v>0</v>
      </c>
      <c r="N147" s="425">
        <f ca="1">IFERROR(__xludf.DUMMYFUNCTION("IMPORTRANGE(""https://docs.google.com/spreadsheets/d/1-uDff_7J0KD5mKrp0Vvzr7lt3OU09vwQwhkpOPPYv2Y/edit?usp=sharing"",""งบพรบ!BY24"")"),0)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IFERROR(__xludf.DUMMYFUNCTION("IMPORTRANGE(""https://docs.google.com/spreadsheets/d/1eHaY18a8A9IcSdp1K8H6x8fbOy06t2VsZHhMHf-1x7Y/edit?usp=sharing"",""แผน!U24"")"),10)</f>
        <v>10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IFERROR(__xludf.DUMMYFUNCTION("IMPORTRANGE(""https://docs.google.com/spreadsheets/d/1eHaY18a8A9IcSdp1K8H6x8fbOy06t2VsZHhMHf-1x7Y/edit?usp=sharing"",""แผน!V24"")"),1)</f>
        <v>1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IFERROR(__xludf.DUMMYFUNCTION("IMPORTRANGE(""https://docs.google.com/spreadsheets/d/1eHaY18a8A9IcSdp1K8H6x8fbOy06t2VsZHhMHf-1x7Y/edit?usp=sharing"",""แผน!W24"")"),60)</f>
        <v>60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IFERROR(__xludf.DUMMYFUNCTION("IMPORTRANGE(""https://docs.google.com/spreadsheets/d/1eHaY18a8A9IcSdp1K8H6x8fbOy06t2VsZHhMHf-1x7Y/edit?usp=sharing"",""แผน!X24"")"),6)</f>
        <v>6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IFERROR(__xludf.DUMMYFUNCTION("IMPORTRANGE(""https://docs.google.com/spreadsheets/d/1eHaY18a8A9IcSdp1K8H6x8fbOy06t2VsZHhMHf-1x7Y/edit?usp=sharing"",""แผน!Y24"")"),1)</f>
        <v>1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IFERROR(__xludf.DUMMYFUNCTION("IMPORTRANGE(""https://docs.google.com/spreadsheets/d/1-uDff_7J0KD5mKrp0Vvzr7lt3OU09vwQwhkpOPPYv2Y/edit?usp=sharing"",""งบพรบ!CA24"")"),0)</f>
        <v>0</v>
      </c>
      <c r="M162" s="425">
        <f ca="1">IFERROR(__xludf.DUMMYFUNCTION("IMPORTRANGE(""https://docs.google.com/spreadsheets/d/1-uDff_7J0KD5mKrp0Vvzr7lt3OU09vwQwhkpOPPYv2Y/edit?usp=sharing"",""งบพรบ!CF24"")"),0)</f>
        <v>0</v>
      </c>
      <c r="N162" s="425">
        <f ca="1">IFERROR(__xludf.DUMMYFUNCTION("IMPORTRANGE(""https://docs.google.com/spreadsheets/d/1-uDff_7J0KD5mKrp0Vvzr7lt3OU09vwQwhkpOPPYv2Y/edit?usp=sharing"",""งบพรบ!CH24"")"),0)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IFERROR(__xludf.DUMMYFUNCTION("IMPORTRANGE(""https://docs.google.com/spreadsheets/d/1-uDff_7J0KD5mKrp0Vvzr7lt3OU09vwQwhkpOPPYv2Y/edit?usp=sharing"",""งบพรบ!CD24"")"),0)</f>
        <v>0</v>
      </c>
      <c r="M165" s="425">
        <f ca="1">IFERROR(__xludf.DUMMYFUNCTION("IMPORTRANGE(""https://docs.google.com/spreadsheets/d/1-uDff_7J0KD5mKrp0Vvzr7lt3OU09vwQwhkpOPPYv2Y/edit?usp=sharing"",""งบพรบ!CG24"")"),0)</f>
        <v>0</v>
      </c>
      <c r="N165" s="425">
        <f ca="1">IFERROR(__xludf.DUMMYFUNCTION("IMPORTRANGE(""https://docs.google.com/spreadsheets/d/1-uDff_7J0KD5mKrp0Vvzr7lt3OU09vwQwhkpOPPYv2Y/edit?usp=sharing"",""งบพรบ!CI24"")"),0)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IFERROR(__xludf.DUMMYFUNCTION("IMPORTRANGE(""https://docs.google.com/spreadsheets/d/1eHaY18a8A9IcSdp1K8H6x8fbOy06t2VsZHhMHf-1x7Y/edit?usp=sharing"",""แผน!Z24"")"),0)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IFERROR(__xludf.DUMMYFUNCTION("IMPORTRANGE(""https://docs.google.com/spreadsheets/d/1eHaY18a8A9IcSdp1K8H6x8fbOy06t2VsZHhMHf-1x7Y/edit?usp=sharing"",""แผน!Z24"")"),0)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IFERROR(__xludf.DUMMYFUNCTION("IMPORTRANGE(""https://docs.google.com/spreadsheets/d/1eHaY18a8A9IcSdp1K8H6x8fbOy06t2VsZHhMHf-1x7Y/edit?usp=sharing"",""แผน!Z24"")"),0)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112290</v>
      </c>
      <c r="N173" s="577">
        <f ca="1">N174+N175</f>
        <v>54920</v>
      </c>
      <c r="O173" s="577">
        <f ca="1">IF(L173&gt;0,N173*100/L173,0)</f>
        <v>280.34711587544666</v>
      </c>
      <c r="P173" s="577">
        <f ca="1">IF(M173&gt;0,N173*100/M173,0)</f>
        <v>48.909074717249979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112290</v>
      </c>
      <c r="N175" s="425">
        <f ca="1">N178+N181</f>
        <v>54920</v>
      </c>
      <c r="O175" s="425">
        <f ca="1">IF(L175&gt;0,N175*100/L175,0)</f>
        <v>280.34711587544666</v>
      </c>
      <c r="P175" s="425">
        <f ca="1">IF(M175&gt;0,N175*100/M175,0)</f>
        <v>48.909074717249979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112290</v>
      </c>
      <c r="N176" s="425">
        <f ca="1">N177+N178</f>
        <v>54920</v>
      </c>
      <c r="O176" s="425">
        <f ca="1">IF(L176&gt;0,N176*100/L176,0)</f>
        <v>280.34711587544666</v>
      </c>
      <c r="P176" s="425">
        <f ca="1">IF(M176&gt;0,N176*100/M176,0)</f>
        <v>48.909074717249979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IFERROR(__xludf.DUMMYFUNCTION("IMPORTRANGE(""https://docs.google.com/spreadsheets/d/1-uDff_7J0KD5mKrp0Vvzr7lt3OU09vwQwhkpOPPYv2Y/edit?usp=sharing"",""งบพรบ!CK24"")"),19590)</f>
        <v>19590</v>
      </c>
      <c r="M178" s="425">
        <f ca="1">IFERROR(__xludf.DUMMYFUNCTION("IMPORTRANGE(""https://docs.google.com/spreadsheets/d/1-uDff_7J0KD5mKrp0Vvzr7lt3OU09vwQwhkpOPPYv2Y/edit?usp=sharing"",""งบพรบ!CP24"")"),112290)</f>
        <v>112290</v>
      </c>
      <c r="N178" s="425">
        <f ca="1">IFERROR(__xludf.DUMMYFUNCTION("IMPORTRANGE(""https://docs.google.com/spreadsheets/d/1-uDff_7J0KD5mKrp0Vvzr7lt3OU09vwQwhkpOPPYv2Y/edit?usp=sharing"",""งบพรบ!CR24"")"),54920)</f>
        <v>54920</v>
      </c>
      <c r="O178" s="425">
        <f ca="1">IF(L178&gt;0,N178*100/L178,0)</f>
        <v>280.34711587544666</v>
      </c>
      <c r="P178" s="425">
        <f ca="1">IF(M178&gt;0,N178*100/M178,0)</f>
        <v>48.909074717249979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IFERROR(__xludf.DUMMYFUNCTION("IMPORTRANGE(""https://docs.google.com/spreadsheets/d/1-uDff_7J0KD5mKrp0Vvzr7lt3OU09vwQwhkpOPPYv2Y/edit?usp=sharing"",""งบพรบ!CN24"")"),0)</f>
        <v>0</v>
      </c>
      <c r="M181" s="425">
        <f ca="1">IFERROR(__xludf.DUMMYFUNCTION("IMPORTRANGE(""https://docs.google.com/spreadsheets/d/1-uDff_7J0KD5mKrp0Vvzr7lt3OU09vwQwhkpOPPYv2Y/edit?usp=sharing"",""งบพรบ!CQ24"")"),0)</f>
        <v>0</v>
      </c>
      <c r="N181" s="425">
        <f ca="1">IFERROR(__xludf.DUMMYFUNCTION("IMPORTRANGE(""https://docs.google.com/spreadsheets/d/1-uDff_7J0KD5mKrp0Vvzr7lt3OU09vwQwhkpOPPYv2Y/edit?usp=sharing"",""งบพรบ!CS24"")"),0)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IFERROR(__xludf.DUMMYFUNCTION("IMPORTRANGE(""https://docs.google.com/spreadsheets/d/1eHaY18a8A9IcSdp1K8H6x8fbOy06t2VsZHhMHf-1x7Y/edit?usp=sharing"",""แผน!AA24"")"),7)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140500</v>
      </c>
      <c r="M186" s="577">
        <f ca="1">M187+M188</f>
        <v>87500</v>
      </c>
      <c r="N186" s="577">
        <f ca="1">N187+N188</f>
        <v>30479</v>
      </c>
      <c r="O186" s="577">
        <f ca="1">IF(L186&gt;0,N186*100/L186,0)</f>
        <v>21.6932384341637</v>
      </c>
      <c r="P186" s="577">
        <f ca="1">IF(M186&gt;0,N186*100/M186,0)</f>
        <v>34.83314285714286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140500</v>
      </c>
      <c r="M188" s="425">
        <f ca="1">M191+M194</f>
        <v>87500</v>
      </c>
      <c r="N188" s="425">
        <f ca="1">N191+N194</f>
        <v>30479</v>
      </c>
      <c r="O188" s="425">
        <f ca="1">IF(L188&gt;0,N188*100/L188,0)</f>
        <v>21.6932384341637</v>
      </c>
      <c r="P188" s="425">
        <f ca="1">IF(M188&gt;0,N188*100/M188,0)</f>
        <v>34.83314285714286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140500</v>
      </c>
      <c r="M189" s="425">
        <f ca="1">M190+M191</f>
        <v>87500</v>
      </c>
      <c r="N189" s="425">
        <f ca="1">N190+N191</f>
        <v>30479</v>
      </c>
      <c r="O189" s="425">
        <f ca="1">IF(L189&gt;0,N189*100/L189,0)</f>
        <v>21.6932384341637</v>
      </c>
      <c r="P189" s="425">
        <f ca="1">IF(M189&gt;0,N189*100/M189,0)</f>
        <v>34.83314285714286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IFERROR(__xludf.DUMMYFUNCTION("IMPORTRANGE(""https://docs.google.com/spreadsheets/d/1-uDff_7J0KD5mKrp0Vvzr7lt3OU09vwQwhkpOPPYv2Y/edit?usp=sharing"",""งบพรบ!CU24"")"),140500)</f>
        <v>140500</v>
      </c>
      <c r="M191" s="425">
        <f ca="1">IFERROR(__xludf.DUMMYFUNCTION("IMPORTRANGE(""https://docs.google.com/spreadsheets/d/1-uDff_7J0KD5mKrp0Vvzr7lt3OU09vwQwhkpOPPYv2Y/edit?usp=sharing"",""งบพรบ!CZ24"")"),87500)</f>
        <v>87500</v>
      </c>
      <c r="N191" s="425">
        <f ca="1">IFERROR(__xludf.DUMMYFUNCTION("IMPORTRANGE(""https://docs.google.com/spreadsheets/d/1-uDff_7J0KD5mKrp0Vvzr7lt3OU09vwQwhkpOPPYv2Y/edit?usp=sharing"",""งบพรบ!DB24"")"),30479)</f>
        <v>30479</v>
      </c>
      <c r="O191" s="425">
        <f ca="1">IF(L191&gt;0,N191*100/L191,0)</f>
        <v>21.6932384341637</v>
      </c>
      <c r="P191" s="425">
        <f ca="1">IF(M191&gt;0,N191*100/M191,0)</f>
        <v>34.83314285714286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IFERROR(__xludf.DUMMYFUNCTION("IMPORTRANGE(""https://docs.google.com/spreadsheets/d/1-uDff_7J0KD5mKrp0Vvzr7lt3OU09vwQwhkpOPPYv2Y/edit?usp=sharing"",""งบพรบ!CX24"")"),0)</f>
        <v>0</v>
      </c>
      <c r="M194" s="425">
        <f ca="1">IFERROR(__xludf.DUMMYFUNCTION("IMPORTRANGE(""https://docs.google.com/spreadsheets/d/1-uDff_7J0KD5mKrp0Vvzr7lt3OU09vwQwhkpOPPYv2Y/edit?usp=sharing"",""งบพรบ!DA24"")"),0)</f>
        <v>0</v>
      </c>
      <c r="N194" s="425">
        <f ca="1">IFERROR(__xludf.DUMMYFUNCTION("IMPORTRANGE(""https://docs.google.com/spreadsheets/d/1-uDff_7J0KD5mKrp0Vvzr7lt3OU09vwQwhkpOPPYv2Y/edit?usp=sharing"",""งบพรบ!DC24"")"),0)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IFERROR(__xludf.DUMMYFUNCTION("IMPORTRANGE(""https://docs.google.com/spreadsheets/d/1eHaY18a8A9IcSdp1K8H6x8fbOy06t2VsZHhMHf-1x7Y/edit?usp=sharing"",""แผน!AB24"")"),6000)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IFERROR(__xludf.DUMMYFUNCTION("IMPORTRANGE(""https://docs.google.com/spreadsheets/d/1eHaY18a8A9IcSdp1K8H6x8fbOy06t2VsZHhMHf-1x7Y/edit?usp=sharing"",""แผน!AE24"")"),4)</f>
        <v>4</v>
      </c>
      <c r="J198" s="595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30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30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31000</v>
      </c>
      <c r="M203" s="428"/>
      <c r="N203" s="577">
        <f>N204+N205+N206+N207</f>
        <v>700</v>
      </c>
      <c r="O203" s="577">
        <f ca="1">IF(L203&gt;0,N203*100/L203,0)</f>
        <v>2.2580645161290325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IFERROR(__xludf.DUMMYFUNCTION("IMPORTRANGE(""https://docs.google.com/spreadsheets/d/1eHaY18a8A9IcSdp1K8H6x8fbOy06t2VsZHhMHf-1x7Y/edit?usp=sharing"",""แผน!AG24"")"),2000)</f>
        <v>2000</v>
      </c>
      <c r="M204" s="428"/>
      <c r="N204" s="683">
        <v>700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IFERROR(__xludf.DUMMYFUNCTION("IMPORTRANGE(""https://docs.google.com/spreadsheets/d/1eHaY18a8A9IcSdp1K8H6x8fbOy06t2VsZHhMHf-1x7Y/edit?usp=sharing"",""แผน!AH24"")"),0)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IFERROR(__xludf.DUMMYFUNCTION("IMPORTRANGE(""https://docs.google.com/spreadsheets/d/1eHaY18a8A9IcSdp1K8H6x8fbOy06t2VsZHhMHf-1x7Y/edit?usp=sharing"",""แผน!AI24"")"),16000)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IFERROR(__xludf.DUMMYFUNCTION("IMPORTRANGE(""https://docs.google.com/spreadsheets/d/1eHaY18a8A9IcSdp1K8H6x8fbOy06t2VsZHhMHf-1x7Y/edit?usp=sharing"",""แผน!AJ24"")"),13000)</f>
        <v>13000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IFERROR(__xludf.DUMMYFUNCTION("IMPORTRANGE(""https://docs.google.com/spreadsheets/d/1eHaY18a8A9IcSdp1K8H6x8fbOy06t2VsZHhMHf-1x7Y/edit?usp=sharing"",""แผน!AK24"")"),2)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IFERROR(__xludf.DUMMYFUNCTION("IMPORTRANGE(""https://docs.google.com/spreadsheets/d/1eHaY18a8A9IcSdp1K8H6x8fbOy06t2VsZHhMHf-1x7Y/edit?usp=sharing"",""แผน!JX24"")"),2)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IFERROR(__xludf.DUMMYFUNCTION("IMPORTRANGE(""https://docs.google.com/spreadsheets/d/1eHaY18a8A9IcSdp1K8H6x8fbOy06t2VsZHhMHf-1x7Y/edit?usp=sharing"",""แผน!JY24"")"),1)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IFERROR(__xludf.DUMMYFUNCTION("IMPORTRANGE(""https://docs.google.com/spreadsheets/d/1eHaY18a8A9IcSdp1K8H6x8fbOy06t2VsZHhMHf-1x7Y/edit?usp=sharing"",""แผน!AM24"")"),0)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IFERROR(__xludf.DUMMYFUNCTION("IMPORTRANGE(""https://docs.google.com/spreadsheets/d/1eHaY18a8A9IcSdp1K8H6x8fbOy06t2VsZHhMHf-1x7Y/edit?usp=sharing"",""แผน!AN24"")"),0)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IFERROR(__xludf.DUMMYFUNCTION("IMPORTRANGE(""https://docs.google.com/spreadsheets/d/1eHaY18a8A9IcSdp1K8H6x8fbOy06t2VsZHhMHf-1x7Y/edit?usp=sharing"",""แผน!AO24"")"),0)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IFERROR(__xludf.DUMMYFUNCTION("IMPORTRANGE(""https://docs.google.com/spreadsheets/d/1eHaY18a8A9IcSdp1K8H6x8fbOy06t2VsZHhMHf-1x7Y/edit?usp=sharing"",""แผน!AP24"")"),0)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IFERROR(__xludf.DUMMYFUNCTION("IMPORTRANGE(""https://docs.google.com/spreadsheets/d/1eHaY18a8A9IcSdp1K8H6x8fbOy06t2VsZHhMHf-1x7Y/edit?usp=sharing"",""แผน!AP24"")"),0)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12500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IFERROR(__xludf.DUMMYFUNCTION("IMPORTRANGE(""https://docs.google.com/spreadsheets/d/1eHaY18a8A9IcSdp1K8H6x8fbOy06t2VsZHhMHf-1x7Y/edit?usp=sharing"",""แผน!AR24"")"),11000)</f>
        <v>11000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IFERROR(__xludf.DUMMYFUNCTION("IMPORTRANGE(""https://docs.google.com/spreadsheets/d/1eHaY18a8A9IcSdp1K8H6x8fbOy06t2VsZHhMHf-1x7Y/edit?usp=sharing"",""แผน!AS24"")"),1500)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IFERROR(__xludf.DUMMYFUNCTION("IMPORTRANGE(""https://docs.google.com/spreadsheets/d/1eHaY18a8A9IcSdp1K8H6x8fbOy06t2VsZHhMHf-1x7Y/edit?usp=sharing"",""แผน!AT24"")"),0)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IFERROR(__xludf.DUMMYFUNCTION("IMPORTRANGE(""https://docs.google.com/spreadsheets/d/1eHaY18a8A9IcSdp1K8H6x8fbOy06t2VsZHhMHf-1x7Y/edit?usp=sharing"",""แผน!AV24"")"),100000)</f>
        <v>100000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IFERROR(__xludf.DUMMYFUNCTION("IMPORTRANGE(""https://docs.google.com/spreadsheets/d/1eHaY18a8A9IcSdp1K8H6x8fbOy06t2VsZHhMHf-1x7Y/edit?usp=sharing"",""แผน!AV24"")"),100000)</f>
        <v>100000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IFERROR(__xludf.DUMMYFUNCTION("IMPORTRANGE(""https://docs.google.com/spreadsheets/d/1eHaY18a8A9IcSdp1K8H6x8fbOy06t2VsZHhMHf-1x7Y/edit?usp=sharing"",""แผน!AU24"")"),0)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IFERROR(__xludf.DUMMYFUNCTION("IMPORTRANGE(""https://docs.google.com/spreadsheets/d/1eHaY18a8A9IcSdp1K8H6x8fbOy06t2VsZHhMHf-1x7Y/edit?usp=sharing"",""แผน!AX24"")"),0)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IFERROR(__xludf.DUMMYFUNCTION("IMPORTRANGE(""https://docs.google.com/spreadsheets/d/1eHaY18a8A9IcSdp1K8H6x8fbOy06t2VsZHhMHf-1x7Y/edit?usp=sharing"",""แผน!AY24"")"),0)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IFERROR(__xludf.DUMMYFUNCTION("IMPORTRANGE(""https://docs.google.com/spreadsheets/d/1eHaY18a8A9IcSdp1K8H6x8fbOy06t2VsZHhMHf-1x7Y/edit?usp=sharing"",""แผน!AZ24"")"),0)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IFERROR(__xludf.DUMMYFUNCTION("IMPORTRANGE(""https://docs.google.com/spreadsheets/d/1eHaY18a8A9IcSdp1K8H6x8fbOy06t2VsZHhMHf-1x7Y/edit?usp=sharing"",""แผน!BA24"")"),0)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IFERROR(__xludf.DUMMYFUNCTION("IMPORTRANGE(""https://docs.google.com/spreadsheets/d/1eHaY18a8A9IcSdp1K8H6x8fbOy06t2VsZHhMHf-1x7Y/edit?usp=sharing"",""แผน!BG24"")"),0)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IFERROR(__xludf.DUMMYFUNCTION("IMPORTRANGE(""https://docs.google.com/spreadsheets/d/1eHaY18a8A9IcSdp1K8H6x8fbOy06t2VsZHhMHf-1x7Y/edit?usp=sharing"",""แผน!BB24"")"),0)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IFERROR(__xludf.DUMMYFUNCTION("IMPORTRANGE(""https://docs.google.com/spreadsheets/d/1eHaY18a8A9IcSdp1K8H6x8fbOy06t2VsZHhMHf-1x7Y/edit?usp=sharing"",""แผน!BC24"")"),0)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IFERROR(__xludf.DUMMYFUNCTION("IMPORTRANGE(""https://docs.google.com/spreadsheets/d/1eHaY18a8A9IcSdp1K8H6x8fbOy06t2VsZHhMHf-1x7Y/edit?usp=sharing"",""แผน!BD24"")"),0)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IFERROR(__xludf.DUMMYFUNCTION("IMPORTRANGE(""https://docs.google.com/spreadsheets/d/1eHaY18a8A9IcSdp1K8H6x8fbOy06t2VsZHhMHf-1x7Y/edit?usp=sharing"",""แผน!BE24"")"),0)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IFERROR(__xludf.DUMMYFUNCTION("IMPORTRANGE(""https://docs.google.com/spreadsheets/d/1eHaY18a8A9IcSdp1K8H6x8fbOy06t2VsZHhMHf-1x7Y/edit?usp=sharing"",""แผน!BH24"")"),0)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IFERROR(__xludf.DUMMYFUNCTION("IMPORTRANGE(""https://docs.google.com/spreadsheets/d/1-uDff_7J0KD5mKrp0Vvzr7lt3OU09vwQwhkpOPPYv2Y/edit?usp=sharing"",""งบพรบ!DE24"")"),0)</f>
        <v>0</v>
      </c>
      <c r="M271" s="521">
        <f ca="1">IFERROR(__xludf.DUMMYFUNCTION("IMPORTRANGE(""https://docs.google.com/spreadsheets/d/1-uDff_7J0KD5mKrp0Vvzr7lt3OU09vwQwhkpOPPYv2Y/edit?usp=sharing"",""งบพรบ!DJ24"")"),0)</f>
        <v>0</v>
      </c>
      <c r="N271" s="521">
        <f ca="1">IFERROR(__xludf.DUMMYFUNCTION("IMPORTRANGE(""https://docs.google.com/spreadsheets/d/1-uDff_7J0KD5mKrp0Vvzr7lt3OU09vwQwhkpOPPYv2Y/edit?usp=sharing"",""งบพรบ!DL24"")"),0)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IFERROR(__xludf.DUMMYFUNCTION("IMPORTRANGE(""https://docs.google.com/spreadsheets/d/1-uDff_7J0KD5mKrp0Vvzr7lt3OU09vwQwhkpOPPYv2Y/edit?usp=sharing"",""งบพรบ!DH24"")"),0)</f>
        <v>0</v>
      </c>
      <c r="M274" s="521">
        <f ca="1">IFERROR(__xludf.DUMMYFUNCTION("IMPORTRANGE(""https://docs.google.com/spreadsheets/d/1-uDff_7J0KD5mKrp0Vvzr7lt3OU09vwQwhkpOPPYv2Y/edit?usp=sharing"",""งบพรบ!DK24"")"),0)</f>
        <v>0</v>
      </c>
      <c r="N274" s="521">
        <f ca="1">IFERROR(__xludf.DUMMYFUNCTION("IMPORTRANGE(""https://docs.google.com/spreadsheets/d/1-uDff_7J0KD5mKrp0Vvzr7lt3OU09vwQwhkpOPPYv2Y/edit?usp=sharing"",""งบพรบ!DM24"")"),0)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10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100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56120</v>
      </c>
      <c r="M282" s="577">
        <f ca="1">M283+M284</f>
        <v>44480</v>
      </c>
      <c r="N282" s="577">
        <f ca="1">N283+N284</f>
        <v>6670</v>
      </c>
      <c r="O282" s="577">
        <f ca="1">IF(L282&gt;0,N282*100/L282,0)</f>
        <v>11.885245901639344</v>
      </c>
      <c r="P282" s="577">
        <f ca="1">IF(M282&gt;0,N282*100/M282,0)</f>
        <v>14.995503597122303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56120</v>
      </c>
      <c r="M284" s="425">
        <f ca="1">M287+M290</f>
        <v>44480</v>
      </c>
      <c r="N284" s="425">
        <f ca="1">N287+N290</f>
        <v>6670</v>
      </c>
      <c r="O284" s="425">
        <f ca="1">IF(L284&gt;0,N284*100/L284,0)</f>
        <v>11.885245901639344</v>
      </c>
      <c r="P284" s="425">
        <f ca="1">IF(M284&gt;0,N284*100/M284,0)</f>
        <v>14.995503597122303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56120</v>
      </c>
      <c r="M285" s="425">
        <f ca="1">M286+M287</f>
        <v>44480</v>
      </c>
      <c r="N285" s="425">
        <f ca="1">N286+N287</f>
        <v>6670</v>
      </c>
      <c r="O285" s="425">
        <f ca="1">IF(L285&gt;0,N285*100/L285,0)</f>
        <v>11.885245901639344</v>
      </c>
      <c r="P285" s="425">
        <f ca="1">IF(M285&gt;0,N285*100/M285,0)</f>
        <v>14.995503597122303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IFERROR(__xludf.DUMMYFUNCTION("IMPORTRANGE(""https://docs.google.com/spreadsheets/d/1-uDff_7J0KD5mKrp0Vvzr7lt3OU09vwQwhkpOPPYv2Y/edit?usp=sharing"",""งบพรบ!DO24"")"),56120)</f>
        <v>56120</v>
      </c>
      <c r="M287" s="425">
        <f ca="1">IFERROR(__xludf.DUMMYFUNCTION("IMPORTRANGE(""https://docs.google.com/spreadsheets/d/1-uDff_7J0KD5mKrp0Vvzr7lt3OU09vwQwhkpOPPYv2Y/edit?usp=sharing"",""งบพรบ!DT24"")"),44480)</f>
        <v>44480</v>
      </c>
      <c r="N287" s="425">
        <f ca="1">IFERROR(__xludf.DUMMYFUNCTION("IMPORTRANGE(""https://docs.google.com/spreadsheets/d/1-uDff_7J0KD5mKrp0Vvzr7lt3OU09vwQwhkpOPPYv2Y/edit?usp=sharing"",""งบพรบ!DV24"")"),6670)</f>
        <v>6670</v>
      </c>
      <c r="O287" s="425">
        <f ca="1">IF(L287&gt;0,N287*100/L287,0)</f>
        <v>11.885245901639344</v>
      </c>
      <c r="P287" s="425">
        <f ca="1">IF(M287&gt;0,N287*100/M287,0)</f>
        <v>14.995503597122303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IFERROR(__xludf.DUMMYFUNCTION("IMPORTRANGE(""https://docs.google.com/spreadsheets/d/1-uDff_7J0KD5mKrp0Vvzr7lt3OU09vwQwhkpOPPYv2Y/edit?usp=sharing"",""งบพรบ!DR24"")"),0)</f>
        <v>0</v>
      </c>
      <c r="M290" s="425">
        <f ca="1">IFERROR(__xludf.DUMMYFUNCTION("IMPORTRANGE(""https://docs.google.com/spreadsheets/d/1-uDff_7J0KD5mKrp0Vvzr7lt3OU09vwQwhkpOPPYv2Y/edit?usp=sharing"",""งบพรบ!DU24"")"),0)</f>
        <v>0</v>
      </c>
      <c r="N290" s="425">
        <f ca="1">IFERROR(__xludf.DUMMYFUNCTION("IMPORTRANGE(""https://docs.google.com/spreadsheets/d/1-uDff_7J0KD5mKrp0Vvzr7lt3OU09vwQwhkpOPPYv2Y/edit?usp=sharing"",""งบพรบ!DW24"")"),0)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IFERROR(__xludf.DUMMYFUNCTION("IMPORTRANGE(""https://docs.google.com/spreadsheets/d/1eHaY18a8A9IcSdp1K8H6x8fbOy06t2VsZHhMHf-1x7Y/edit?usp=sharing"",""แผน!EE24"")"),100)</f>
        <v>100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IFERROR(__xludf.DUMMYFUNCTION("IMPORTRANGE(""https://docs.google.com/spreadsheets/d/1eHaY18a8A9IcSdp1K8H6x8fbOy06t2VsZHhMHf-1x7Y/edit?usp=sharing"",""แผน!ED24"")"),10)</f>
        <v>10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IFERROR(__xludf.DUMMYFUNCTION("IMPORTRANGE(""https://docs.google.com/spreadsheets/d/1eHaY18a8A9IcSdp1K8H6x8fbOy06t2VsZHhMHf-1x7Y/edit?usp=sharing"",""แผน!ED24"")"),10)</f>
        <v>10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IFERROR(__xludf.DUMMYFUNCTION("IMPORTRANGE(""https://docs.google.com/spreadsheets/d/1eHaY18a8A9IcSdp1K8H6x8fbOy06t2VsZHhMHf-1x7Y/edit?usp=sharing"",""แผน!ED24"")"),10)</f>
        <v>10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IFERROR(__xludf.DUMMYFUNCTION("IMPORTRANGE(""https://docs.google.com/spreadsheets/d/1-uDff_7J0KD5mKrp0Vvzr7lt3OU09vwQwhkpOPPYv2Y/edit?usp=sharing"",""งบพรบ!DY24"")"),0)</f>
        <v>0</v>
      </c>
      <c r="M308" s="425">
        <f ca="1">IFERROR(__xludf.DUMMYFUNCTION("IMPORTRANGE(""https://docs.google.com/spreadsheets/d/1-uDff_7J0KD5mKrp0Vvzr7lt3OU09vwQwhkpOPPYv2Y/edit?usp=sharing"",""งบพรบ!ED24"")"),0)</f>
        <v>0</v>
      </c>
      <c r="N308" s="425">
        <f ca="1">IFERROR(__xludf.DUMMYFUNCTION("IMPORTRANGE(""https://docs.google.com/spreadsheets/d/1-uDff_7J0KD5mKrp0Vvzr7lt3OU09vwQwhkpOPPYv2Y/edit?usp=sharing"",""งบพรบ!EF24"")"),0)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IFERROR(__xludf.DUMMYFUNCTION("IMPORTRANGE(""https://docs.google.com/spreadsheets/d/1-uDff_7J0KD5mKrp0Vvzr7lt3OU09vwQwhkpOPPYv2Y/edit?usp=sharing"",""งบพรบ!EB24"")"),0)</f>
        <v>0</v>
      </c>
      <c r="M311" s="425">
        <f ca="1">IFERROR(__xludf.DUMMYFUNCTION("IMPORTRANGE(""https://docs.google.com/spreadsheets/d/1-uDff_7J0KD5mKrp0Vvzr7lt3OU09vwQwhkpOPPYv2Y/edit?usp=sharing"",""งบพรบ!EE24"")"),0)</f>
        <v>0</v>
      </c>
      <c r="N311" s="425">
        <f ca="1">IFERROR(__xludf.DUMMYFUNCTION("IMPORTRANGE(""https://docs.google.com/spreadsheets/d/1-uDff_7J0KD5mKrp0Vvzr7lt3OU09vwQwhkpOPPYv2Y/edit?usp=sharing"",""งบพรบ!EG24"")"),0)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IFERROR(__xludf.DUMMYFUNCTION("IMPORTRANGE(""https://docs.google.com/spreadsheets/d/1eHaY18a8A9IcSdp1K8H6x8fbOy06t2VsZHhMHf-1x7Y/edit?usp=sharing"",""แผน!EF24"")"),0)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IFERROR(__xludf.DUMMYFUNCTION("IMPORTRANGE(""https://docs.google.com/spreadsheets/d/1eHaY18a8A9IcSdp1K8H6x8fbOy06t2VsZHhMHf-1x7Y/edit?usp=sharing"",""แผน!EG24"")"),0)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IFERROR(__xludf.DUMMYFUNCTION("IMPORTRANGE(""https://docs.google.com/spreadsheets/d/1eHaY18a8A9IcSdp1K8H6x8fbOy06t2VsZHhMHf-1x7Y/edit?usp=sharing"",""แผน!EH24"")"),0)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IFERROR(__xludf.DUMMYFUNCTION("IMPORTRANGE(""https://docs.google.com/spreadsheets/d/1eHaY18a8A9IcSdp1K8H6x8fbOy06t2VsZHhMHf-1x7Y/edit?usp=sharing"",""แผน!EI24"")"),0)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IFERROR(__xludf.DUMMYFUNCTION("IMPORTRANGE(""https://docs.google.com/spreadsheets/d/1-uDff_7J0KD5mKrp0Vvzr7lt3OU09vwQwhkpOPPYv2Y/edit?usp=sharing"",""งบพรบ!EI24"")"),0)</f>
        <v>0</v>
      </c>
      <c r="M325" s="425">
        <f ca="1">IFERROR(__xludf.DUMMYFUNCTION("IMPORTRANGE(""https://docs.google.com/spreadsheets/d/1-uDff_7J0KD5mKrp0Vvzr7lt3OU09vwQwhkpOPPYv2Y/edit?usp=sharing"",""งบพรบ!EN24"")"),0)</f>
        <v>0</v>
      </c>
      <c r="N325" s="425">
        <f ca="1">IFERROR(__xludf.DUMMYFUNCTION("IMPORTRANGE(""https://docs.google.com/spreadsheets/d/1-uDff_7J0KD5mKrp0Vvzr7lt3OU09vwQwhkpOPPYv2Y/edit?usp=sharing"",""งบพรบ!EP24"")"),0)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IFERROR(__xludf.DUMMYFUNCTION("IMPORTRANGE(""https://docs.google.com/spreadsheets/d/1-uDff_7J0KD5mKrp0Vvzr7lt3OU09vwQwhkpOPPYv2Y/edit?usp=sharing"",""งบพรบ!EL24"")"),0)</f>
        <v>0</v>
      </c>
      <c r="M328" s="425">
        <f ca="1">IFERROR(__xludf.DUMMYFUNCTION("IMPORTRANGE(""https://docs.google.com/spreadsheets/d/1-uDff_7J0KD5mKrp0Vvzr7lt3OU09vwQwhkpOPPYv2Y/edit?usp=sharing"",""งบพรบ!EO24"")"),0)</f>
        <v>0</v>
      </c>
      <c r="N328" s="425">
        <f ca="1">IFERROR(__xludf.DUMMYFUNCTION("IMPORTRANGE(""https://docs.google.com/spreadsheets/d/1-uDff_7J0KD5mKrp0Vvzr7lt3OU09vwQwhkpOPPYv2Y/edit?usp=sharing"",""งบพรบ!EQ24"")"),0)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IFERROR(__xludf.DUMMYFUNCTION("IMPORTRANGE(""https://docs.google.com/spreadsheets/d/1eHaY18a8A9IcSdp1K8H6x8fbOy06t2VsZHhMHf-1x7Y/edit?usp=sharing"",""แผน!EJ24"")"),0)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1140</v>
      </c>
      <c r="J332" s="402">
        <f ca="1">J344+J347+J348+J349+J353</f>
        <v>1527</v>
      </c>
      <c r="K332" s="403">
        <f ca="1">IF(I332&gt;0,J332*100/I332,0)</f>
        <v>133.94736842105263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108000</v>
      </c>
      <c r="M333" s="577">
        <f ca="1">M334+M335</f>
        <v>85750</v>
      </c>
      <c r="N333" s="577">
        <f ca="1">N334+N335</f>
        <v>26500</v>
      </c>
      <c r="O333" s="577">
        <f ca="1">IF(L333&gt;0,N333*100/L333,0)</f>
        <v>24.537037037037038</v>
      </c>
      <c r="P333" s="577">
        <f ca="1">IF(M333&gt;0,N333*100/M333,0)</f>
        <v>30.903790087463555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108000</v>
      </c>
      <c r="M335" s="425">
        <f ca="1">M338+M341</f>
        <v>85750</v>
      </c>
      <c r="N335" s="425">
        <f ca="1">N338+N341</f>
        <v>26500</v>
      </c>
      <c r="O335" s="425">
        <f ca="1">IF(L335&gt;0,N335*100/L335,0)</f>
        <v>24.537037037037038</v>
      </c>
      <c r="P335" s="425">
        <f ca="1">IF(M335&gt;0,N335*100/M335,0)</f>
        <v>30.903790087463555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108000</v>
      </c>
      <c r="M336" s="425">
        <f ca="1">M337+M338</f>
        <v>85750</v>
      </c>
      <c r="N336" s="425">
        <f ca="1">N337+N338</f>
        <v>26500</v>
      </c>
      <c r="O336" s="425">
        <f ca="1">IF(L336&gt;0,N336*100/L336,0)</f>
        <v>24.537037037037038</v>
      </c>
      <c r="P336" s="425">
        <f ca="1">IF(M336&gt;0,N336*100/M336,0)</f>
        <v>30.903790087463555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IFERROR(__xludf.DUMMYFUNCTION("IMPORTRANGE(""https://docs.google.com/spreadsheets/d/1-uDff_7J0KD5mKrp0Vvzr7lt3OU09vwQwhkpOPPYv2Y/edit?usp=sharing"",""งบพรบ!ES24"")"),108000)</f>
        <v>108000</v>
      </c>
      <c r="M338" s="425">
        <f ca="1">IFERROR(__xludf.DUMMYFUNCTION("IMPORTRANGE(""https://docs.google.com/spreadsheets/d/1-uDff_7J0KD5mKrp0Vvzr7lt3OU09vwQwhkpOPPYv2Y/edit?usp=sharing"",""งบพรบ!EX24"")"),85750)</f>
        <v>85750</v>
      </c>
      <c r="N338" s="425">
        <f ca="1">IFERROR(__xludf.DUMMYFUNCTION("IMPORTRANGE(""https://docs.google.com/spreadsheets/d/1-uDff_7J0KD5mKrp0Vvzr7lt3OU09vwQwhkpOPPYv2Y/edit?usp=sharing"",""งบพรบ!EZ24"")"),26500)</f>
        <v>26500</v>
      </c>
      <c r="O338" s="425">
        <f ca="1">IF(L338&gt;0,N338*100/L338,0)</f>
        <v>24.537037037037038</v>
      </c>
      <c r="P338" s="425">
        <f ca="1">IF(M338&gt;0,N338*100/M338,0)</f>
        <v>30.903790087463555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IFERROR(__xludf.DUMMYFUNCTION("IMPORTRANGE(""https://docs.google.com/spreadsheets/d/1-uDff_7J0KD5mKrp0Vvzr7lt3OU09vwQwhkpOPPYv2Y/edit?usp=sharing"",""งบพรบ!EV24"")"),0)</f>
        <v>0</v>
      </c>
      <c r="M341" s="425">
        <f ca="1">IFERROR(__xludf.DUMMYFUNCTION("IMPORTRANGE(""https://docs.google.com/spreadsheets/d/1-uDff_7J0KD5mKrp0Vvzr7lt3OU09vwQwhkpOPPYv2Y/edit?usp=sharing"",""งบพรบ!EY24"")"),0)</f>
        <v>0</v>
      </c>
      <c r="N341" s="425">
        <f ca="1">IFERROR(__xludf.DUMMYFUNCTION("IMPORTRANGE(""https://docs.google.com/spreadsheets/d/1-uDff_7J0KD5mKrp0Vvzr7lt3OU09vwQwhkpOPPYv2Y/edit?usp=sharing"",""งบพรบ!FA24"")"),0)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572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IFERROR(__xludf.DUMMYFUNCTION("IMPORTRANGE(""https://docs.google.com/spreadsheets/d/1eHaY18a8A9IcSdp1K8H6x8fbOy06t2VsZHhMHf-1x7Y/edit?usp=sharing"",""แผน!EK24"")"),1140)</f>
        <v>1140</v>
      </c>
      <c r="J344" s="424">
        <f ca="1">IFERROR(__xludf.DUMMYFUNCTION("IMPORTRANGE(""https://docs.google.com/spreadsheets/d/1awYsYK3VOup2i3Pq_Yjnu8DRu_mYwSBnCR2QPthd0rU/edit?usp=sharing"",""ศูนย์ยกเว้นโฉนด!D24"")"),555)</f>
        <v>555</v>
      </c>
      <c r="K344" s="425">
        <f ca="1">IF(I344&gt;0,J344*100/I344,0)</f>
        <v>48.684210526315788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IFERROR(__xludf.DUMMYFUNCTION("IMPORTRANGE(""https://docs.google.com/spreadsheets/d/1eHaY18a8A9IcSdp1K8H6x8fbOy06t2VsZHhMHf-1x7Y/edit?usp=sharing"",""แผน!EL24"")"),4)</f>
        <v>4</v>
      </c>
      <c r="J346" s="424">
        <f ca="1">IFERROR(__xludf.DUMMYFUNCTION("IMPORTRANGE(""https://docs.google.com/spreadsheets/d/1awYsYK3VOup2i3Pq_Yjnu8DRu_mYwSBnCR2QPthd0rU/edit?usp=sharing"",""ศูนย์รวม!E24"")"),0)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IFERROR(__xludf.DUMMYFUNCTION("IMPORTRANGE(""https://docs.google.com/spreadsheets/d/1awYsYK3VOup2i3Pq_Yjnu8DRu_mYwSBnCR2QPthd0rU/edit?usp=sharing"",""ศูนย์ยกเว้นโฉนด!F24"")"),0)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IFERROR(__xludf.DUMMYFUNCTION("IMPORTRANGE(""https://docs.google.com/spreadsheets/d/1awYsYK3VOup2i3Pq_Yjnu8DRu_mYwSBnCR2QPthd0rU/edit?usp=sharing"",""ศูนย์ยกเว้นโฉนด!G24"")"),17)</f>
        <v>17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IFERROR(__xludf.DUMMYFUNCTION("IMPORTRANGE(""https://docs.google.com/spreadsheets/d/1awYsYK3VOup2i3Pq_Yjnu8DRu_mYwSBnCR2QPthd0rU/edit?usp=sharing"",""ศูนย์ยกเว้นโฉนด!H24"")"),0)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1162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IFERROR(__xludf.DUMMYFUNCTION("IMPORTRANGE(""https://docs.google.com/spreadsheets/d/1awYsYK3VOup2i3Pq_Yjnu8DRu_mYwSBnCR2QPthd0rU/edit?usp=sharing"",""โฉนดM3!G24"")"),207)</f>
        <v>207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IFERROR(__xludf.DUMMYFUNCTION("IMPORTRANGE(""https://docs.google.com/spreadsheets/d/1awYsYK3VOup2i3Pq_Yjnu8DRu_mYwSBnCR2QPthd0rU/edit?usp=sharing"",""โฉนดM3!H24"")"),955)</f>
        <v>955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422685</v>
      </c>
      <c r="M356" s="577">
        <f ca="1">M357+M358</f>
        <v>344085</v>
      </c>
      <c r="N356" s="577">
        <f ca="1">N357+N358</f>
        <v>89900</v>
      </c>
      <c r="O356" s="577">
        <f ca="1">IF(L356&gt;0,N356*100/L356,0)</f>
        <v>21.268793546021268</v>
      </c>
      <c r="P356" s="577">
        <f ca="1">IF(M356&gt;0,N356*100/M356,0)</f>
        <v>26.127265065318163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422685</v>
      </c>
      <c r="M358" s="425">
        <f ca="1">M361+M364</f>
        <v>344085</v>
      </c>
      <c r="N358" s="425">
        <f ca="1">N361+N364</f>
        <v>89900</v>
      </c>
      <c r="O358" s="425">
        <f ca="1">IF(L358&gt;0,N358*100/L358,0)</f>
        <v>21.268793546021268</v>
      </c>
      <c r="P358" s="425">
        <f ca="1">IF(M358&gt;0,N358*100/M358,0)</f>
        <v>26.127265065318163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422685</v>
      </c>
      <c r="M359" s="425">
        <f ca="1">M360+M361</f>
        <v>344085</v>
      </c>
      <c r="N359" s="425">
        <f ca="1">N360+N361</f>
        <v>89900</v>
      </c>
      <c r="O359" s="425">
        <f ca="1">IF(L359&gt;0,N359*100/L359,0)</f>
        <v>21.268793546021268</v>
      </c>
      <c r="P359" s="425">
        <f ca="1">IF(M359&gt;0,N359*100/M359,0)</f>
        <v>26.127265065318163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IFERROR(__xludf.DUMMYFUNCTION("IMPORTRANGE(""https://docs.google.com/spreadsheets/d/1-uDff_7J0KD5mKrp0Vvzr7lt3OU09vwQwhkpOPPYv2Y/edit?usp=sharing"",""งบพรบ!FC24"")"),422685)</f>
        <v>422685</v>
      </c>
      <c r="M361" s="425">
        <f ca="1">IFERROR(__xludf.DUMMYFUNCTION("IMPORTRANGE(""https://docs.google.com/spreadsheets/d/1-uDff_7J0KD5mKrp0Vvzr7lt3OU09vwQwhkpOPPYv2Y/edit?usp=sharing"",""งบพรบ!FH24"")"),344085)</f>
        <v>344085</v>
      </c>
      <c r="N361" s="425">
        <f ca="1">IFERROR(__xludf.DUMMYFUNCTION("IMPORTRANGE(""https://docs.google.com/spreadsheets/d/1-uDff_7J0KD5mKrp0Vvzr7lt3OU09vwQwhkpOPPYv2Y/edit?usp=sharing"",""งบพรบ!FJ24"")"),89900)</f>
        <v>89900</v>
      </c>
      <c r="O361" s="425">
        <f ca="1">IF(L361&gt;0,N361*100/L361,0)</f>
        <v>21.268793546021268</v>
      </c>
      <c r="P361" s="425">
        <f ca="1">IF(M361&gt;0,N361*100/M361,0)</f>
        <v>26.127265065318163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IFERROR(__xludf.DUMMYFUNCTION("IMPORTRANGE(""https://docs.google.com/spreadsheets/d/1-uDff_7J0KD5mKrp0Vvzr7lt3OU09vwQwhkpOPPYv2Y/edit?usp=sharing"",""งบพรบ!FF24"")"),0)</f>
        <v>0</v>
      </c>
      <c r="M364" s="425">
        <f ca="1">IFERROR(__xludf.DUMMYFUNCTION("IMPORTRANGE(""https://docs.google.com/spreadsheets/d/1-uDff_7J0KD5mKrp0Vvzr7lt3OU09vwQwhkpOPPYv2Y/edit?usp=sharing"",""งบพรบ!FI24"")"),0)</f>
        <v>0</v>
      </c>
      <c r="N364" s="425">
        <f ca="1">IFERROR(__xludf.DUMMYFUNCTION("IMPORTRANGE(""https://docs.google.com/spreadsheets/d/1-uDff_7J0KD5mKrp0Vvzr7lt3OU09vwQwhkpOPPYv2Y/edit?usp=sharing"",""งบพรบ!FK24"")"),0)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134</v>
      </c>
      <c r="J365" s="438">
        <f ca="1">J371</f>
        <v>57</v>
      </c>
      <c r="K365" s="439">
        <f ca="1">IF(I365&gt;0,J365*100/I365,0)</f>
        <v>42.537313432835823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IFERROR(__xludf.DUMMYFUNCTION("IMPORTRANGE(""https://docs.google.com/spreadsheets/d/1tdoBKaGub7dwA3U6UFTqxio9LNnvDCQjHKmttSEBsFQ/edit?usp=sharing"",""จัดที่ดิน!AB24"")"),28)</f>
        <v>28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IFERROR(__xludf.DUMMYFUNCTION("IMPORTRANGE(""https://docs.google.com/spreadsheets/d/1eHaY18a8A9IcSdp1K8H6x8fbOy06t2VsZHhMHf-1x7Y/edit?usp=sharing"",""แผน!EW24"")"),1180)</f>
        <v>1180</v>
      </c>
      <c r="J368" s="565">
        <f ca="1">IFERROR(__xludf.DUMMYFUNCTION("IMPORTRANGE(""https://docs.google.com/spreadsheets/d/1tdoBKaGub7dwA3U6UFTqxio9LNnvDCQjHKmttSEBsFQ/edit?usp=sharing"",""จัดที่ดิน!AC24"")"),174.54)</f>
        <v>174.54</v>
      </c>
      <c r="K368" s="425">
        <f ca="1">IF(I368&gt;0,J368*100/I368,0)</f>
        <v>14.791525423728814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IFERROR(__xludf.DUMMYFUNCTION("IMPORTRANGE(""https://docs.google.com/spreadsheets/d/1eHaY18a8A9IcSdp1K8H6x8fbOy06t2VsZHhMHf-1x7Y/edit?usp=sharing"",""แผน!EX24"")"),191)</f>
        <v>191</v>
      </c>
      <c r="J369" s="424">
        <f ca="1">IFERROR(__xludf.DUMMYFUNCTION("IMPORTRANGE(""https://docs.google.com/spreadsheets/d/1tdoBKaGub7dwA3U6UFTqxio9LNnvDCQjHKmttSEBsFQ/edit?usp=sharing"",""จัดที่ดิน!AD24"")"),57)</f>
        <v>57</v>
      </c>
      <c r="K369" s="425">
        <f ca="1">IF(I369&gt;0,J369*100/I369,0)</f>
        <v>29.842931937172775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IFERROR(__xludf.DUMMYFUNCTION("IMPORTRANGE(""https://docs.google.com/spreadsheets/d/1tdoBKaGub7dwA3U6UFTqxio9LNnvDCQjHKmttSEBsFQ/edit?usp=sharing"",""จัดที่ดิน!AE24"")"),509.05)</f>
        <v>509.05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IFERROR(__xludf.DUMMYFUNCTION("IMPORTRANGE(""https://docs.google.com/spreadsheets/d/1eHaY18a8A9IcSdp1K8H6x8fbOy06t2VsZHhMHf-1x7Y/edit?usp=sharing"",""แผน!EY24"")"),134)</f>
        <v>134</v>
      </c>
      <c r="J371" s="424">
        <f ca="1">IFERROR(__xludf.DUMMYFUNCTION("IMPORTRANGE(""https://docs.google.com/spreadsheets/d/1tdoBKaGub7dwA3U6UFTqxio9LNnvDCQjHKmttSEBsFQ/edit?usp=sharing"",""จัดที่ดิน!AF24"")"),57)</f>
        <v>57</v>
      </c>
      <c r="K371" s="425">
        <f ca="1">IF(I371&gt;0,J371*100/I371,0)</f>
        <v>42.537313432835823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IFERROR(__xludf.DUMMYFUNCTION("IMPORTRANGE(""https://docs.google.com/spreadsheets/d/1tdoBKaGub7dwA3U6UFTqxio9LNnvDCQjHKmttSEBsFQ/edit?usp=sharing"",""จัดที่ดิน!AG24"")"),509.96)</f>
        <v>509.96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IFERROR(__xludf.DUMMYFUNCTION("IMPORTRANGE(""https://docs.google.com/spreadsheets/d/1-uDff_7J0KD5mKrp0Vvzr7lt3OU09vwQwhkpOPPYv2Y/edit?usp=sharing"",""งบพรบ!FM24"")"),0)</f>
        <v>0</v>
      </c>
      <c r="M382" s="521">
        <f ca="1">IFERROR(__xludf.DUMMYFUNCTION("IMPORTRANGE(""https://docs.google.com/spreadsheets/d/1-uDff_7J0KD5mKrp0Vvzr7lt3OU09vwQwhkpOPPYv2Y/edit?usp=sharing"",""งบพรบ!FR24"")"),0)</f>
        <v>0</v>
      </c>
      <c r="N382" s="521">
        <f ca="1">IFERROR(__xludf.DUMMYFUNCTION("IMPORTRANGE(""https://docs.google.com/spreadsheets/d/1-uDff_7J0KD5mKrp0Vvzr7lt3OU09vwQwhkpOPPYv2Y/edit?usp=sharing"",""งบพรบ!FT24"")"),0)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IFERROR(__xludf.DUMMYFUNCTION("IMPORTRANGE(""https://docs.google.com/spreadsheets/d/1-uDff_7J0KD5mKrp0Vvzr7lt3OU09vwQwhkpOPPYv2Y/edit?usp=sharing"",""งบพรบ!FP24"")"),0)</f>
        <v>0</v>
      </c>
      <c r="M385" s="521">
        <f ca="1">IFERROR(__xludf.DUMMYFUNCTION("IMPORTRANGE(""https://docs.google.com/spreadsheets/d/1-uDff_7J0KD5mKrp0Vvzr7lt3OU09vwQwhkpOPPYv2Y/edit?usp=sharing"",""งบพรบ!FS24"")"),0)</f>
        <v>0</v>
      </c>
      <c r="N385" s="521">
        <f ca="1">IFERROR(__xludf.DUMMYFUNCTION("IMPORTRANGE(""https://docs.google.com/spreadsheets/d/1-uDff_7J0KD5mKrp0Vvzr7lt3OU09vwQwhkpOPPYv2Y/edit?usp=sharing"",""งบพรบ!FU24"")"),0)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95BA-2097-4D2C-958C-786F1442FD9F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28515625" bestFit="1" customWidth="1"/>
    <col min="10" max="10" width="11.140625" bestFit="1" customWidth="1"/>
    <col min="11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176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1421235</v>
      </c>
      <c r="M18" s="704">
        <f ca="1">M19+M20</f>
        <v>1100445</v>
      </c>
      <c r="N18" s="704">
        <f ca="1">N19+N20</f>
        <v>355217.29</v>
      </c>
      <c r="O18" s="704">
        <f ca="1">IF(L18&gt;0,N18*100/L18,0)</f>
        <v>24.993564751782781</v>
      </c>
      <c r="P18" s="704">
        <f ca="1">IF(M18&gt;0,N18*100/M18,0)</f>
        <v>32.279422415477377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1421235</v>
      </c>
      <c r="M20" s="817">
        <f ca="1">M23+M26</f>
        <v>1100445</v>
      </c>
      <c r="N20" s="817">
        <f ca="1">N23+N26</f>
        <v>355217.29</v>
      </c>
      <c r="O20" s="817">
        <f ca="1">IF(L20&gt;0,N20*100/L20,0)</f>
        <v>24.993564751782781</v>
      </c>
      <c r="P20" s="817">
        <f ca="1">IF(M20&gt;0,N20*100/M20,0)</f>
        <v>32.279422415477377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1421235</v>
      </c>
      <c r="M21" s="425">
        <f ca="1">M22+M23</f>
        <v>1100445</v>
      </c>
      <c r="N21" s="425">
        <f ca="1">N22+N23</f>
        <v>355217.29</v>
      </c>
      <c r="O21" s="425">
        <f ca="1">IF(L21&gt;0,N21*100/L21,0)</f>
        <v>24.993564751782781</v>
      </c>
      <c r="P21" s="425">
        <f ca="1">IF(M21&gt;0,N21*100/M21,0)</f>
        <v>32.279422415477377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1421235</v>
      </c>
      <c r="M23" s="425">
        <f ca="1">M49+M64+M77+M99+M130+M144+M162+M191+M178+M271+M287+M308+M325+M338+M361+M382</f>
        <v>1100445</v>
      </c>
      <c r="N23" s="425">
        <f ca="1">N49+N64+N77+N99+N130+N144+N162+N191+N178+N271+N287+N308+N325+N338+N361+N382</f>
        <v>355217.29</v>
      </c>
      <c r="O23" s="425">
        <f ca="1">IF(L23&gt;0,N23*100/L23,0)</f>
        <v>24.993564751782781</v>
      </c>
      <c r="P23" s="425">
        <f ca="1">IF(M23&gt;0,N23*100/M23,0)</f>
        <v>32.279422415477377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1421235</v>
      </c>
      <c r="M40" s="809">
        <f ca="1">M44+M59+M72+M94+M125+M139+M157+M173+M186+M266+M282+M303+M320+M333+M356</f>
        <v>1100445</v>
      </c>
      <c r="N40" s="809">
        <f ca="1">N44+N59+N72+N94+N125+N139+N157+N173+N186+N266+N282+N303+N320+N333+N356</f>
        <v>355217.29</v>
      </c>
      <c r="O40" s="809">
        <f ca="1">IF(L40&gt;0,N40*100/L40,0)</f>
        <v>24.993564751782781</v>
      </c>
      <c r="P40" s="809">
        <f ca="1">IF(M40&gt;0,N40*100/M40,0)</f>
        <v>32.279422415477377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127750</v>
      </c>
      <c r="M44" s="794">
        <f ca="1">M45+M46</f>
        <v>134500</v>
      </c>
      <c r="N44" s="794">
        <f ca="1">N45+N46</f>
        <v>42750</v>
      </c>
      <c r="O44" s="794">
        <f ca="1">IF(L44&gt;0,N44*100/L44,0)</f>
        <v>33.463796477495109</v>
      </c>
      <c r="P44" s="794">
        <f ca="1">IF(M44&gt;0,N44*100/M44,0)</f>
        <v>31.78438661710037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127750</v>
      </c>
      <c r="M46" s="783">
        <f ca="1">M49+M52</f>
        <v>134500</v>
      </c>
      <c r="N46" s="783">
        <f ca="1">N49+N52</f>
        <v>42750</v>
      </c>
      <c r="O46" s="783">
        <f ca="1">IF(L46&gt;0,N46*100/L46,0)</f>
        <v>33.463796477495109</v>
      </c>
      <c r="P46" s="783">
        <f ca="1">IF(M46&gt;0,N46*100/M46,0)</f>
        <v>31.78438661710037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127750</v>
      </c>
      <c r="M47" s="425">
        <f ca="1">M48+M49</f>
        <v>134500</v>
      </c>
      <c r="N47" s="425">
        <f ca="1">N48+N49</f>
        <v>42750</v>
      </c>
      <c r="O47" s="425">
        <f ca="1">IF(L47&gt;0,N47*100/L47,0)</f>
        <v>33.463796477495109</v>
      </c>
      <c r="P47" s="425">
        <f ca="1">IF(M47&gt;0,N47*100/M47,0)</f>
        <v>31.78438661710037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IFERROR(__xludf.DUMMYFUNCTION("IMPORTRANGE(""https://docs.google.com/spreadsheets/d/1-uDff_7J0KD5mKrp0Vvzr7lt3OU09vwQwhkpOPPYv2Y/edit?usp=sharing"",""งบพรบ!P25"")"),127750)</f>
        <v>127750</v>
      </c>
      <c r="M49" s="425">
        <f ca="1">IFERROR(__xludf.DUMMYFUNCTION("IMPORTRANGE(""https://docs.google.com/spreadsheets/d/1-uDff_7J0KD5mKrp0Vvzr7lt3OU09vwQwhkpOPPYv2Y/edit?usp=sharing"",""งบพรบ!V25"")"),134500)</f>
        <v>134500</v>
      </c>
      <c r="N49" s="425">
        <f ca="1">IFERROR(__xludf.DUMMYFUNCTION("IMPORTRANGE(""https://docs.google.com/spreadsheets/d/1-uDff_7J0KD5mKrp0Vvzr7lt3OU09vwQwhkpOPPYv2Y/edit?usp=sharing"",""งบพรบ!Y25"")"),42750)</f>
        <v>42750</v>
      </c>
      <c r="O49" s="425">
        <f ca="1">IF(L49&gt;0,N49*100/L49,0)</f>
        <v>33.463796477495109</v>
      </c>
      <c r="P49" s="425">
        <f ca="1">IF(M49&gt;0,N49*100/M49,0)</f>
        <v>31.78438661710037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IFERROR(__xludf.DUMMYFUNCTION("IMPORTRANGE(""https://docs.google.com/spreadsheets/d/1-uDff_7J0KD5mKrp0Vvzr7lt3OU09vwQwhkpOPPYv2Y/edit?usp=sharing"",""งบพรบ!S25"")"),0)</f>
        <v>0</v>
      </c>
      <c r="M52" s="425">
        <f ca="1">IFERROR(__xludf.DUMMYFUNCTION("IMPORTRANGE(""https://docs.google.com/spreadsheets/d/1-uDff_7J0KD5mKrp0Vvzr7lt3OU09vwQwhkpOPPYv2Y/edit?usp=sharing"",""งบพรบ!W25"")"),0)</f>
        <v>0</v>
      </c>
      <c r="N52" s="425">
        <f ca="1">IFERROR(__xludf.DUMMYFUNCTION("IMPORTRANGE(""https://docs.google.com/spreadsheets/d/1-uDff_7J0KD5mKrp0Vvzr7lt3OU09vwQwhkpOPPYv2Y/edit?usp=sharing"",""งบพรบ!Z25"")"),0)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456500</v>
      </c>
      <c r="M59" s="763">
        <f ca="1">M60+M61</f>
        <v>344450</v>
      </c>
      <c r="N59" s="763">
        <f ca="1">N60+N61</f>
        <v>203227.85</v>
      </c>
      <c r="O59" s="763">
        <f ca="1">IF(L59&gt;0,N59*100/L59,0)</f>
        <v>44.518696604600223</v>
      </c>
      <c r="P59" s="763">
        <f ca="1">IF(M59&gt;0,N59*100/M59,0)</f>
        <v>59.000682247060531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456500</v>
      </c>
      <c r="M61" s="752">
        <f ca="1">M64+M67</f>
        <v>344450</v>
      </c>
      <c r="N61" s="752">
        <f ca="1">N64+N67</f>
        <v>203227.85</v>
      </c>
      <c r="O61" s="752">
        <f ca="1">IF(L61&gt;0,N61*100/L61,0)</f>
        <v>44.518696604600223</v>
      </c>
      <c r="P61" s="752">
        <f ca="1">IF(M61&gt;0,N61*100/M61,0)</f>
        <v>59.000682247060531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456500</v>
      </c>
      <c r="M62" s="425">
        <f ca="1">M63+M64</f>
        <v>344450</v>
      </c>
      <c r="N62" s="425">
        <f ca="1">N63+N64</f>
        <v>203227.85</v>
      </c>
      <c r="O62" s="425">
        <f ca="1">IF(L62&gt;0,N62*100/L62,0)</f>
        <v>44.518696604600223</v>
      </c>
      <c r="P62" s="425">
        <f ca="1">IF(M62&gt;0,N62*100/M62,0)</f>
        <v>59.000682247060531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IFERROR(__xludf.DUMMYFUNCTION("IMPORTRANGE(""https://docs.google.com/spreadsheets/d/1-uDff_7J0KD5mKrp0Vvzr7lt3OU09vwQwhkpOPPYv2Y/edit?usp=sharing"",""งบพรบ!AC25"")"),456500)</f>
        <v>456500</v>
      </c>
      <c r="M64" s="425">
        <f ca="1">IFERROR(__xludf.DUMMYFUNCTION("IMPORTRANGE(""https://docs.google.com/spreadsheets/d/1-uDff_7J0KD5mKrp0Vvzr7lt3OU09vwQwhkpOPPYv2Y/edit?usp=sharing"",""งบพรบ!AH25"")"),344450)</f>
        <v>344450</v>
      </c>
      <c r="N64" s="425">
        <f ca="1">IFERROR(__xludf.DUMMYFUNCTION("IMPORTRANGE(""https://docs.google.com/spreadsheets/d/1-uDff_7J0KD5mKrp0Vvzr7lt3OU09vwQwhkpOPPYv2Y/edit?usp=sharing"",""งบพรบ!AJ25"")"),203227.85)</f>
        <v>203227.85</v>
      </c>
      <c r="O64" s="425">
        <f ca="1">IF(L64&gt;0,N64*100/L64,0)</f>
        <v>44.518696604600223</v>
      </c>
      <c r="P64" s="425">
        <f ca="1">IF(M64&gt;0,N64*100/M64,0)</f>
        <v>59.000682247060531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IFERROR(__xludf.DUMMYFUNCTION("IMPORTRANGE(""https://docs.google.com/spreadsheets/d/1-uDff_7J0KD5mKrp0Vvzr7lt3OU09vwQwhkpOPPYv2Y/edit?usp=sharing"",""งบพรบ!AF25"")"),0)</f>
        <v>0</v>
      </c>
      <c r="M67" s="747">
        <f ca="1">IFERROR(__xludf.DUMMYFUNCTION("IMPORTRANGE(""https://docs.google.com/spreadsheets/d/1-uDff_7J0KD5mKrp0Vvzr7lt3OU09vwQwhkpOPPYv2Y/edit?usp=sharing"",""งบพรบ!AI25"")"),0)</f>
        <v>0</v>
      </c>
      <c r="N67" s="747">
        <f ca="1">IFERROR(__xludf.DUMMYFUNCTION("IMPORTRANGE(""https://docs.google.com/spreadsheets/d/1-uDff_7J0KD5mKrp0Vvzr7lt3OU09vwQwhkpOPPYv2Y/edit?usp=sharing"",""งบพรบ!AK25"")"),0)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IFERROR(__xludf.DUMMYFUNCTION("IMPORTRANGE(""https://docs.google.com/spreadsheets/d/1-uDff_7J0KD5mKrp0Vvzr7lt3OU09vwQwhkpOPPYv2Y/edit?usp=sharing"",""งบพรบ!AM25"")"),0)</f>
        <v>0</v>
      </c>
      <c r="M77" s="425">
        <f ca="1">IFERROR(__xludf.DUMMYFUNCTION("IMPORTRANGE(""https://docs.google.com/spreadsheets/d/1-uDff_7J0KD5mKrp0Vvzr7lt3OU09vwQwhkpOPPYv2Y/edit?usp=sharing"",""งบพรบ!AR25"")"),0)</f>
        <v>0</v>
      </c>
      <c r="N77" s="425">
        <f ca="1">IFERROR(__xludf.DUMMYFUNCTION("IMPORTRANGE(""https://docs.google.com/spreadsheets/d/1-uDff_7J0KD5mKrp0Vvzr7lt3OU09vwQwhkpOPPYv2Y/edit?usp=sharing"",""งบพรบ!AT25"")"),0)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IFERROR(__xludf.DUMMYFUNCTION("IMPORTRANGE(""https://docs.google.com/spreadsheets/d/1-uDff_7J0KD5mKrp0Vvzr7lt3OU09vwQwhkpOPPYv2Y/edit?usp=sharing"",""งบพรบ!AP25"")"),0)</f>
        <v>0</v>
      </c>
      <c r="M80" s="425">
        <f ca="1">IFERROR(__xludf.DUMMYFUNCTION("IMPORTRANGE(""https://docs.google.com/spreadsheets/d/1-uDff_7J0KD5mKrp0Vvzr7lt3OU09vwQwhkpOPPYv2Y/edit?usp=sharing"",""งบพรบ!AS25"")"),0)</f>
        <v>0</v>
      </c>
      <c r="N80" s="425">
        <f ca="1">IFERROR(__xludf.DUMMYFUNCTION("IMPORTRANGE(""https://docs.google.com/spreadsheets/d/1-uDff_7J0KD5mKrp0Vvzr7lt3OU09vwQwhkpOPPYv2Y/edit?usp=sharing"",""งบพรบ!AU25"")"),0)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IFERROR(__xludf.DUMMYFUNCTION("IMPORTRANGE(""https://docs.google.com/spreadsheets/d/1eHaY18a8A9IcSdp1K8H6x8fbOy06t2VsZHhMHf-1x7Y/edit?usp=sharing"",""แผน!H25"")"),0)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IFERROR(__xludf.DUMMYFUNCTION("IMPORTRANGE(""https://docs.google.com/spreadsheets/d/1eHaY18a8A9IcSdp1K8H6x8fbOy06t2VsZHhMHf-1x7Y/edit?usp=sharing"",""แผน!I25"")"),0)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IFERROR(__xludf.DUMMYFUNCTION("IMPORTRANGE(""https://docs.google.com/spreadsheets/d/1eHaY18a8A9IcSdp1K8H6x8fbOy06t2VsZHhMHf-1x7Y/edit?usp=sharing"",""แผน!F25"")"),0)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IFERROR(__xludf.DUMMYFUNCTION("IMPORTRANGE(""https://docs.google.com/spreadsheets/d/1eHaY18a8A9IcSdp1K8H6x8fbOy06t2VsZHhMHf-1x7Y/edit?usp=sharing"",""แผน!G25"")"),0)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IFERROR(__xludf.DUMMYFUNCTION("IMPORTRANGE(""https://docs.google.com/spreadsheets/d/1eHaY18a8A9IcSdp1K8H6x8fbOy06t2VsZHhMHf-1x7Y/edit?usp=sharing"",""แผน!D25"")"),0)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IFERROR(__xludf.DUMMYFUNCTION("IMPORTRANGE(""https://docs.google.com/spreadsheets/d/1eHaY18a8A9IcSdp1K8H6x8fbOy06t2VsZHhMHf-1x7Y/edit?usp=sharing"",""แผน!E25"")"),0)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IFERROR(__xludf.DUMMYFUNCTION("IMPORTRANGE(""https://docs.google.com/spreadsheets/d/1eHaY18a8A9IcSdp1K8H6x8fbOy06t2VsZHhMHf-1x7Y/edit?usp=sharing"",""แผน!J25"")"),0)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IFERROR(__xludf.DUMMYFUNCTION("IMPORTRANGE(""https://docs.google.com/spreadsheets/d/1-uDff_7J0KD5mKrp0Vvzr7lt3OU09vwQwhkpOPPYv2Y/edit?usp=sharing"",""งบพรบ!AW25"")"),0)</f>
        <v>0</v>
      </c>
      <c r="M99" s="425">
        <f ca="1">IFERROR(__xludf.DUMMYFUNCTION("IMPORTRANGE(""https://docs.google.com/spreadsheets/d/1-uDff_7J0KD5mKrp0Vvzr7lt3OU09vwQwhkpOPPYv2Y/edit?usp=sharing"",""งบพรบ!BB25"")"),0)</f>
        <v>0</v>
      </c>
      <c r="N99" s="425">
        <f ca="1">IFERROR(__xludf.DUMMYFUNCTION("IMPORTRANGE(""https://docs.google.com/spreadsheets/d/1-uDff_7J0KD5mKrp0Vvzr7lt3OU09vwQwhkpOPPYv2Y/edit?usp=sharing"",""งบพรบ!BD25"")"),0)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IFERROR(__xludf.DUMMYFUNCTION("IMPORTRANGE(""https://docs.google.com/spreadsheets/d/1-uDff_7J0KD5mKrp0Vvzr7lt3OU09vwQwhkpOPPYv2Y/edit?usp=sharing"",""งบพรบ!AZ25"")"),0)</f>
        <v>0</v>
      </c>
      <c r="M102" s="425">
        <f ca="1">IFERROR(__xludf.DUMMYFUNCTION("IMPORTRANGE(""https://docs.google.com/spreadsheets/d/1-uDff_7J0KD5mKrp0Vvzr7lt3OU09vwQwhkpOPPYv2Y/edit?usp=sharing"",""งบพรบ!BC25"")"),0)</f>
        <v>0</v>
      </c>
      <c r="N102" s="425">
        <f ca="1">IFERROR(__xludf.DUMMYFUNCTION("IMPORTRANGE(""https://docs.google.com/spreadsheets/d/1-uDff_7J0KD5mKrp0Vvzr7lt3OU09vwQwhkpOPPYv2Y/edit?usp=sharing"",""งบพรบ!BE25"")"),0)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IFERROR(__xludf.DUMMYFUNCTION("IMPORTRANGE(""https://docs.google.com/spreadsheets/d/1eHaY18a8A9IcSdp1K8H6x8fbOy06t2VsZHhMHf-1x7Y/edit?usp=sharing"",""แผน!N25"")"),0)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IFERROR(__xludf.DUMMYFUNCTION("IMPORTRANGE(""https://docs.google.com/spreadsheets/d/1eHaY18a8A9IcSdp1K8H6x8fbOy06t2VsZHhMHf-1x7Y/edit?usp=sharing"",""แผน!O25"")"),0)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IFERROR(__xludf.DUMMYFUNCTION("IMPORTRANGE(""https://docs.google.com/spreadsheets/d/1eHaY18a8A9IcSdp1K8H6x8fbOy06t2VsZHhMHf-1x7Y/edit?usp=sharing"",""แผน!R25"")"),0)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IFERROR(__xludf.DUMMYFUNCTION("IMPORTRANGE(""https://docs.google.com/spreadsheets/d/1-uDff_7J0KD5mKrp0Vvzr7lt3OU09vwQwhkpOPPYv2Y/edit?usp=sharing"",""งบพรบ!BG25"")"),0)</f>
        <v>0</v>
      </c>
      <c r="M130" s="723">
        <f ca="1">IFERROR(__xludf.DUMMYFUNCTION("IMPORTRANGE(""https://docs.google.com/spreadsheets/d/1-uDff_7J0KD5mKrp0Vvzr7lt3OU09vwQwhkpOPPYv2Y/edit?usp=sharing"",""งบพรบ!BL25"")"),0)</f>
        <v>0</v>
      </c>
      <c r="N130" s="723">
        <f ca="1">IFERROR(__xludf.DUMMYFUNCTION("IMPORTRANGE(""https://docs.google.com/spreadsheets/d/1-uDff_7J0KD5mKrp0Vvzr7lt3OU09vwQwhkpOPPYv2Y/edit?usp=sharing"",""งบพรบ!BN25"")"),0)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IFERROR(__xludf.DUMMYFUNCTION("IMPORTRANGE(""https://docs.google.com/spreadsheets/d/1-uDff_7J0KD5mKrp0Vvzr7lt3OU09vwQwhkpOPPYv2Y/edit?usp=sharing"",""งบพรบ!BJ25"")"),0)</f>
        <v>0</v>
      </c>
      <c r="M133" s="723">
        <f ca="1">IFERROR(__xludf.DUMMYFUNCTION("IMPORTRANGE(""https://docs.google.com/spreadsheets/d/1-uDff_7J0KD5mKrp0Vvzr7lt3OU09vwQwhkpOPPYv2Y/edit?usp=sharing"",""งบพรบ!BM25"")"),0)</f>
        <v>0</v>
      </c>
      <c r="N133" s="723">
        <f ca="1">IFERROR(__xludf.DUMMYFUNCTION("IMPORTRANGE(""https://docs.google.com/spreadsheets/d/1-uDff_7J0KD5mKrp0Vvzr7lt3OU09vwQwhkpOPPYv2Y/edit?usp=sharing"",""งบพรบ!BO25"")"),0)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IFERROR(__xludf.DUMMYFUNCTION("IMPORTRANGE(""https://docs.google.com/spreadsheets/d/1-uDff_7J0KD5mKrp0Vvzr7lt3OU09vwQwhkpOPPYv2Y/edit?usp=sharing"",""งบพรบ!BQ25"")"),0)</f>
        <v>0</v>
      </c>
      <c r="M144" s="425">
        <f ca="1">IFERROR(__xludf.DUMMYFUNCTION("IMPORTRANGE(""https://docs.google.com/spreadsheets/d/1-uDff_7J0KD5mKrp0Vvzr7lt3OU09vwQwhkpOPPYv2Y/edit?usp=sharing"",""งบพรบ!BV25"")"),0)</f>
        <v>0</v>
      </c>
      <c r="N144" s="425">
        <f ca="1">IFERROR(__xludf.DUMMYFUNCTION("IMPORTRANGE(""https://docs.google.com/spreadsheets/d/1-uDff_7J0KD5mKrp0Vvzr7lt3OU09vwQwhkpOPPYv2Y/edit?usp=sharing"",""งบพรบ!BX25"")"),0)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IFERROR(__xludf.DUMMYFUNCTION("IMPORTRANGE(""https://docs.google.com/spreadsheets/d/1-uDff_7J0KD5mKrp0Vvzr7lt3OU09vwQwhkpOPPYv2Y/edit?usp=sharing"",""งบพรบ!BT25"")"),0)</f>
        <v>0</v>
      </c>
      <c r="M147" s="425">
        <f ca="1">IFERROR(__xludf.DUMMYFUNCTION("IMPORTRANGE(""https://docs.google.com/spreadsheets/d/1-uDff_7J0KD5mKrp0Vvzr7lt3OU09vwQwhkpOPPYv2Y/edit?usp=sharing"",""งบพรบ!BW25"")"),0)</f>
        <v>0</v>
      </c>
      <c r="N147" s="425">
        <f ca="1">IFERROR(__xludf.DUMMYFUNCTION("IMPORTRANGE(""https://docs.google.com/spreadsheets/d/1-uDff_7J0KD5mKrp0Vvzr7lt3OU09vwQwhkpOPPYv2Y/edit?usp=sharing"",""งบพรบ!BY25"")"),0)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IFERROR(__xludf.DUMMYFUNCTION("IMPORTRANGE(""https://docs.google.com/spreadsheets/d/1eHaY18a8A9IcSdp1K8H6x8fbOy06t2VsZHhMHf-1x7Y/edit?usp=sharing"",""แผน!U25"")"),0)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IFERROR(__xludf.DUMMYFUNCTION("IMPORTRANGE(""https://docs.google.com/spreadsheets/d/1eHaY18a8A9IcSdp1K8H6x8fbOy06t2VsZHhMHf-1x7Y/edit?usp=sharing"",""แผน!V25"")"),0)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IFERROR(__xludf.DUMMYFUNCTION("IMPORTRANGE(""https://docs.google.com/spreadsheets/d/1eHaY18a8A9IcSdp1K8H6x8fbOy06t2VsZHhMHf-1x7Y/edit?usp=sharing"",""แผน!W25"")"),0)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IFERROR(__xludf.DUMMYFUNCTION("IMPORTRANGE(""https://docs.google.com/spreadsheets/d/1eHaY18a8A9IcSdp1K8H6x8fbOy06t2VsZHhMHf-1x7Y/edit?usp=sharing"",""แผน!X25"")"),0)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IFERROR(__xludf.DUMMYFUNCTION("IMPORTRANGE(""https://docs.google.com/spreadsheets/d/1eHaY18a8A9IcSdp1K8H6x8fbOy06t2VsZHhMHf-1x7Y/edit?usp=sharing"",""แผน!Y25"")"),0)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3000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IFERROR(__xludf.DUMMYFUNCTION("IMPORTRANGE(""https://docs.google.com/spreadsheets/d/1-uDff_7J0KD5mKrp0Vvzr7lt3OU09vwQwhkpOPPYv2Y/edit?usp=sharing"",""งบพรบ!CA25"")"),3000)</f>
        <v>3000</v>
      </c>
      <c r="M162" s="425">
        <f ca="1">IFERROR(__xludf.DUMMYFUNCTION("IMPORTRANGE(""https://docs.google.com/spreadsheets/d/1-uDff_7J0KD5mKrp0Vvzr7lt3OU09vwQwhkpOPPYv2Y/edit?usp=sharing"",""งบพรบ!CF25"")"),0)</f>
        <v>0</v>
      </c>
      <c r="N162" s="425">
        <f ca="1">IFERROR(__xludf.DUMMYFUNCTION("IMPORTRANGE(""https://docs.google.com/spreadsheets/d/1-uDff_7J0KD5mKrp0Vvzr7lt3OU09vwQwhkpOPPYv2Y/edit?usp=sharing"",""งบพรบ!CH25"")"),0)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IFERROR(__xludf.DUMMYFUNCTION("IMPORTRANGE(""https://docs.google.com/spreadsheets/d/1-uDff_7J0KD5mKrp0Vvzr7lt3OU09vwQwhkpOPPYv2Y/edit?usp=sharing"",""งบพรบ!CD25"")"),0)</f>
        <v>0</v>
      </c>
      <c r="M165" s="425">
        <f ca="1">IFERROR(__xludf.DUMMYFUNCTION("IMPORTRANGE(""https://docs.google.com/spreadsheets/d/1-uDff_7J0KD5mKrp0Vvzr7lt3OU09vwQwhkpOPPYv2Y/edit?usp=sharing"",""งบพรบ!CG25"")"),0)</f>
        <v>0</v>
      </c>
      <c r="N165" s="425">
        <f ca="1">IFERROR(__xludf.DUMMYFUNCTION("IMPORTRANGE(""https://docs.google.com/spreadsheets/d/1-uDff_7J0KD5mKrp0Vvzr7lt3OU09vwQwhkpOPPYv2Y/edit?usp=sharing"",""งบพรบ!CI25"")"),0)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IFERROR(__xludf.DUMMYFUNCTION("IMPORTRANGE(""https://docs.google.com/spreadsheets/d/1eHaY18a8A9IcSdp1K8H6x8fbOy06t2VsZHhMHf-1x7Y/edit?usp=sharing"",""แผน!Z25"")"),10)</f>
        <v>10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7</v>
      </c>
      <c r="K172" s="687">
        <f ca="1">IF(I172&gt;0,J172*100/I172,0)</f>
        <v>100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17810</v>
      </c>
      <c r="O173" s="577">
        <f ca="1">IF(L173&gt;0,N173*100/L173,0)</f>
        <v>90.913731495661054</v>
      </c>
      <c r="P173" s="577">
        <f ca="1">IF(M173&gt;0,N173*100/M173,0)</f>
        <v>90.913731495661054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17810</v>
      </c>
      <c r="O175" s="425">
        <f ca="1">IF(L175&gt;0,N175*100/L175,0)</f>
        <v>90.913731495661054</v>
      </c>
      <c r="P175" s="425">
        <f ca="1">IF(M175&gt;0,N175*100/M175,0)</f>
        <v>90.913731495661054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17810</v>
      </c>
      <c r="O176" s="425">
        <f ca="1">IF(L176&gt;0,N176*100/L176,0)</f>
        <v>90.913731495661054</v>
      </c>
      <c r="P176" s="425">
        <f ca="1">IF(M176&gt;0,N176*100/M176,0)</f>
        <v>90.913731495661054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IFERROR(__xludf.DUMMYFUNCTION("IMPORTRANGE(""https://docs.google.com/spreadsheets/d/1-uDff_7J0KD5mKrp0Vvzr7lt3OU09vwQwhkpOPPYv2Y/edit?usp=sharing"",""งบพรบ!CK25"")"),19590)</f>
        <v>19590</v>
      </c>
      <c r="M178" s="425">
        <f ca="1">IFERROR(__xludf.DUMMYFUNCTION("IMPORTRANGE(""https://docs.google.com/spreadsheets/d/1-uDff_7J0KD5mKrp0Vvzr7lt3OU09vwQwhkpOPPYv2Y/edit?usp=sharing"",""งบพรบ!CP25"")"),19590)</f>
        <v>19590</v>
      </c>
      <c r="N178" s="425">
        <f ca="1">IFERROR(__xludf.DUMMYFUNCTION("IMPORTRANGE(""https://docs.google.com/spreadsheets/d/1-uDff_7J0KD5mKrp0Vvzr7lt3OU09vwQwhkpOPPYv2Y/edit?usp=sharing"",""งบพรบ!CR25"")"),17810)</f>
        <v>17810</v>
      </c>
      <c r="O178" s="425">
        <f ca="1">IF(L178&gt;0,N178*100/L178,0)</f>
        <v>90.913731495661054</v>
      </c>
      <c r="P178" s="425">
        <f ca="1">IF(M178&gt;0,N178*100/M178,0)</f>
        <v>90.913731495661054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IFERROR(__xludf.DUMMYFUNCTION("IMPORTRANGE(""https://docs.google.com/spreadsheets/d/1-uDff_7J0KD5mKrp0Vvzr7lt3OU09vwQwhkpOPPYv2Y/edit?usp=sharing"",""งบพรบ!CN25"")"),0)</f>
        <v>0</v>
      </c>
      <c r="M181" s="425">
        <f ca="1">IFERROR(__xludf.DUMMYFUNCTION("IMPORTRANGE(""https://docs.google.com/spreadsheets/d/1-uDff_7J0KD5mKrp0Vvzr7lt3OU09vwQwhkpOPPYv2Y/edit?usp=sharing"",""งบพรบ!CQ25"")"),0)</f>
        <v>0</v>
      </c>
      <c r="N181" s="425">
        <f ca="1">IFERROR(__xludf.DUMMYFUNCTION("IMPORTRANGE(""https://docs.google.com/spreadsheets/d/1-uDff_7J0KD5mKrp0Vvzr7lt3OU09vwQwhkpOPPYv2Y/edit?usp=sharing"",""งบพรบ!CS25"")"),0)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IFERROR(__xludf.DUMMYFUNCTION("IMPORTRANGE(""https://docs.google.com/spreadsheets/d/1eHaY18a8A9IcSdp1K8H6x8fbOy06t2VsZHhMHf-1x7Y/edit?usp=sharing"",""แผน!AA25"")"),7)</f>
        <v>7</v>
      </c>
      <c r="J183" s="595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122500</v>
      </c>
      <c r="M186" s="577">
        <f ca="1">M187+M188</f>
        <v>78500</v>
      </c>
      <c r="N186" s="577">
        <f ca="1">N187+N188</f>
        <v>18760</v>
      </c>
      <c r="O186" s="577">
        <f ca="1">IF(L186&gt;0,N186*100/L186,0)</f>
        <v>15.314285714285715</v>
      </c>
      <c r="P186" s="577">
        <f ca="1">IF(M186&gt;0,N186*100/M186,0)</f>
        <v>23.898089171974522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122500</v>
      </c>
      <c r="M188" s="425">
        <f ca="1">M191+M194</f>
        <v>78500</v>
      </c>
      <c r="N188" s="425">
        <f ca="1">N191+N194</f>
        <v>18760</v>
      </c>
      <c r="O188" s="425">
        <f ca="1">IF(L188&gt;0,N188*100/L188,0)</f>
        <v>15.314285714285715</v>
      </c>
      <c r="P188" s="425">
        <f ca="1">IF(M188&gt;0,N188*100/M188,0)</f>
        <v>23.898089171974522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122500</v>
      </c>
      <c r="M189" s="425">
        <f ca="1">M190+M191</f>
        <v>78500</v>
      </c>
      <c r="N189" s="425">
        <f ca="1">N190+N191</f>
        <v>18760</v>
      </c>
      <c r="O189" s="425">
        <f ca="1">IF(L189&gt;0,N189*100/L189,0)</f>
        <v>15.314285714285715</v>
      </c>
      <c r="P189" s="425">
        <f ca="1">IF(M189&gt;0,N189*100/M189,0)</f>
        <v>23.898089171974522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IFERROR(__xludf.DUMMYFUNCTION("IMPORTRANGE(""https://docs.google.com/spreadsheets/d/1-uDff_7J0KD5mKrp0Vvzr7lt3OU09vwQwhkpOPPYv2Y/edit?usp=sharing"",""งบพรบ!CU25"")"),122500)</f>
        <v>122500</v>
      </c>
      <c r="M191" s="425">
        <f ca="1">IFERROR(__xludf.DUMMYFUNCTION("IMPORTRANGE(""https://docs.google.com/spreadsheets/d/1-uDff_7J0KD5mKrp0Vvzr7lt3OU09vwQwhkpOPPYv2Y/edit?usp=sharing"",""งบพรบ!CZ25"")"),78500)</f>
        <v>78500</v>
      </c>
      <c r="N191" s="425">
        <f ca="1">IFERROR(__xludf.DUMMYFUNCTION("IMPORTRANGE(""https://docs.google.com/spreadsheets/d/1-uDff_7J0KD5mKrp0Vvzr7lt3OU09vwQwhkpOPPYv2Y/edit?usp=sharing"",""งบพรบ!DB25"")"),18760)</f>
        <v>18760</v>
      </c>
      <c r="O191" s="425">
        <f ca="1">IF(L191&gt;0,N191*100/L191,0)</f>
        <v>15.314285714285715</v>
      </c>
      <c r="P191" s="425">
        <f ca="1">IF(M191&gt;0,N191*100/M191,0)</f>
        <v>23.898089171974522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IFERROR(__xludf.DUMMYFUNCTION("IMPORTRANGE(""https://docs.google.com/spreadsheets/d/1-uDff_7J0KD5mKrp0Vvzr7lt3OU09vwQwhkpOPPYv2Y/edit?usp=sharing"",""งบพรบ!CX25"")"),0)</f>
        <v>0</v>
      </c>
      <c r="M194" s="425">
        <f ca="1">IFERROR(__xludf.DUMMYFUNCTION("IMPORTRANGE(""https://docs.google.com/spreadsheets/d/1-uDff_7J0KD5mKrp0Vvzr7lt3OU09vwQwhkpOPPYv2Y/edit?usp=sharing"",""งบพรบ!DA25"")"),0)</f>
        <v>0</v>
      </c>
      <c r="N194" s="425">
        <f ca="1">IFERROR(__xludf.DUMMYFUNCTION("IMPORTRANGE(""https://docs.google.com/spreadsheets/d/1-uDff_7J0KD5mKrp0Vvzr7lt3OU09vwQwhkpOPPYv2Y/edit?usp=sharing"",""งบพรบ!DC25"")"),0)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IFERROR(__xludf.DUMMYFUNCTION("IMPORTRANGE(""https://docs.google.com/spreadsheets/d/1eHaY18a8A9IcSdp1K8H6x8fbOy06t2VsZHhMHf-1x7Y/edit?usp=sharing"",""แผน!AB25"")"),6000)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IFERROR(__xludf.DUMMYFUNCTION("IMPORTRANGE(""https://docs.google.com/spreadsheets/d/1eHaY18a8A9IcSdp1K8H6x8fbOy06t2VsZHhMHf-1x7Y/edit?usp=sharing"",""แผน!AE25"")"),4)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1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13000</v>
      </c>
      <c r="M203" s="428"/>
      <c r="N203" s="577">
        <f>N204+N205+N206+N207</f>
        <v>7000</v>
      </c>
      <c r="O203" s="577">
        <f ca="1">IF(L203&gt;0,N203*100/L203,0)</f>
        <v>53.846153846153847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IFERROR(__xludf.DUMMYFUNCTION("IMPORTRANGE(""https://docs.google.com/spreadsheets/d/1eHaY18a8A9IcSdp1K8H6x8fbOy06t2VsZHhMHf-1x7Y/edit?usp=sharing"",""แผน!AG25"")"),1000)</f>
        <v>1000</v>
      </c>
      <c r="M204" s="428"/>
      <c r="N204" s="683">
        <v>740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IFERROR(__xludf.DUMMYFUNCTION("IMPORTRANGE(""https://docs.google.com/spreadsheets/d/1eHaY18a8A9IcSdp1K8H6x8fbOy06t2VsZHhMHf-1x7Y/edit?usp=sharing"",""แผน!AH25"")"),0)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IFERROR(__xludf.DUMMYFUNCTION("IMPORTRANGE(""https://docs.google.com/spreadsheets/d/1eHaY18a8A9IcSdp1K8H6x8fbOy06t2VsZHhMHf-1x7Y/edit?usp=sharing"",""แผน!AI25"")"),8000)</f>
        <v>8000</v>
      </c>
      <c r="M206" s="428"/>
      <c r="N206" s="683">
        <v>6260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IFERROR(__xludf.DUMMYFUNCTION("IMPORTRANGE(""https://docs.google.com/spreadsheets/d/1eHaY18a8A9IcSdp1K8H6x8fbOy06t2VsZHhMHf-1x7Y/edit?usp=sharing"",""แผน!AJ25"")"),4000)</f>
        <v>4000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IFERROR(__xludf.DUMMYFUNCTION("IMPORTRANGE(""https://docs.google.com/spreadsheets/d/1eHaY18a8A9IcSdp1K8H6x8fbOy06t2VsZHhMHf-1x7Y/edit?usp=sharing"",""แผน!AK25"")"),1)</f>
        <v>1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IFERROR(__xludf.DUMMYFUNCTION("IMPORTRANGE(""https://docs.google.com/spreadsheets/d/1eHaY18a8A9IcSdp1K8H6x8fbOy06t2VsZHhMHf-1x7Y/edit?usp=sharing"",""แผน!JX25"")"),1)</f>
        <v>1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IFERROR(__xludf.DUMMYFUNCTION("IMPORTRANGE(""https://docs.google.com/spreadsheets/d/1eHaY18a8A9IcSdp1K8H6x8fbOy06t2VsZHhMHf-1x7Y/edit?usp=sharing"",""แผน!JY25"")"),0)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IFERROR(__xludf.DUMMYFUNCTION("IMPORTRANGE(""https://docs.google.com/spreadsheets/d/1eHaY18a8A9IcSdp1K8H6x8fbOy06t2VsZHhMHf-1x7Y/edit?usp=sharing"",""แผน!AM25"")"),0)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IFERROR(__xludf.DUMMYFUNCTION("IMPORTRANGE(""https://docs.google.com/spreadsheets/d/1eHaY18a8A9IcSdp1K8H6x8fbOy06t2VsZHhMHf-1x7Y/edit?usp=sharing"",""แผน!AN25"")"),0)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IFERROR(__xludf.DUMMYFUNCTION("IMPORTRANGE(""https://docs.google.com/spreadsheets/d/1eHaY18a8A9IcSdp1K8H6x8fbOy06t2VsZHhMHf-1x7Y/edit?usp=sharing"",""แผน!AO25"")"),0)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IFERROR(__xludf.DUMMYFUNCTION("IMPORTRANGE(""https://docs.google.com/spreadsheets/d/1eHaY18a8A9IcSdp1K8H6x8fbOy06t2VsZHhMHf-1x7Y/edit?usp=sharing"",""แผน!AP25"")"),0)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IFERROR(__xludf.DUMMYFUNCTION("IMPORTRANGE(""https://docs.google.com/spreadsheets/d/1eHaY18a8A9IcSdp1K8H6x8fbOy06t2VsZHhMHf-1x7Y/edit?usp=sharing"",""แผน!AP25"")"),0)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12500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IFERROR(__xludf.DUMMYFUNCTION("IMPORTRANGE(""https://docs.google.com/spreadsheets/d/1eHaY18a8A9IcSdp1K8H6x8fbOy06t2VsZHhMHf-1x7Y/edit?usp=sharing"",""แผน!AR25"")"),11000)</f>
        <v>11000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IFERROR(__xludf.DUMMYFUNCTION("IMPORTRANGE(""https://docs.google.com/spreadsheets/d/1eHaY18a8A9IcSdp1K8H6x8fbOy06t2VsZHhMHf-1x7Y/edit?usp=sharing"",""แผน!AS25"")"),1500)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IFERROR(__xludf.DUMMYFUNCTION("IMPORTRANGE(""https://docs.google.com/spreadsheets/d/1eHaY18a8A9IcSdp1K8H6x8fbOy06t2VsZHhMHf-1x7Y/edit?usp=sharing"",""แผน!AT25"")"),0)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IFERROR(__xludf.DUMMYFUNCTION("IMPORTRANGE(""https://docs.google.com/spreadsheets/d/1eHaY18a8A9IcSdp1K8H6x8fbOy06t2VsZHhMHf-1x7Y/edit?usp=sharing"",""แผน!AV25"")"),100000)</f>
        <v>100000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IFERROR(__xludf.DUMMYFUNCTION("IMPORTRANGE(""https://docs.google.com/spreadsheets/d/1eHaY18a8A9IcSdp1K8H6x8fbOy06t2VsZHhMHf-1x7Y/edit?usp=sharing"",""แผน!AV25"")"),100000)</f>
        <v>100000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IFERROR(__xludf.DUMMYFUNCTION("IMPORTRANGE(""https://docs.google.com/spreadsheets/d/1eHaY18a8A9IcSdp1K8H6x8fbOy06t2VsZHhMHf-1x7Y/edit?usp=sharing"",""แผน!AU25"")"),0)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IFERROR(__xludf.DUMMYFUNCTION("IMPORTRANGE(""https://docs.google.com/spreadsheets/d/1eHaY18a8A9IcSdp1K8H6x8fbOy06t2VsZHhMHf-1x7Y/edit?usp=sharing"",""แผน!AX25"")"),0)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IFERROR(__xludf.DUMMYFUNCTION("IMPORTRANGE(""https://docs.google.com/spreadsheets/d/1eHaY18a8A9IcSdp1K8H6x8fbOy06t2VsZHhMHf-1x7Y/edit?usp=sharing"",""แผน!AY25"")"),0)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IFERROR(__xludf.DUMMYFUNCTION("IMPORTRANGE(""https://docs.google.com/spreadsheets/d/1eHaY18a8A9IcSdp1K8H6x8fbOy06t2VsZHhMHf-1x7Y/edit?usp=sharing"",""แผน!AZ25"")"),0)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IFERROR(__xludf.DUMMYFUNCTION("IMPORTRANGE(""https://docs.google.com/spreadsheets/d/1eHaY18a8A9IcSdp1K8H6x8fbOy06t2VsZHhMHf-1x7Y/edit?usp=sharing"",""แผน!BA25"")"),0)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IFERROR(__xludf.DUMMYFUNCTION("IMPORTRANGE(""https://docs.google.com/spreadsheets/d/1eHaY18a8A9IcSdp1K8H6x8fbOy06t2VsZHhMHf-1x7Y/edit?usp=sharing"",""แผน!BG25"")"),0)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IFERROR(__xludf.DUMMYFUNCTION("IMPORTRANGE(""https://docs.google.com/spreadsheets/d/1eHaY18a8A9IcSdp1K8H6x8fbOy06t2VsZHhMHf-1x7Y/edit?usp=sharing"",""แผน!BB25"")"),0)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IFERROR(__xludf.DUMMYFUNCTION("IMPORTRANGE(""https://docs.google.com/spreadsheets/d/1eHaY18a8A9IcSdp1K8H6x8fbOy06t2VsZHhMHf-1x7Y/edit?usp=sharing"",""แผน!BC25"")"),0)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IFERROR(__xludf.DUMMYFUNCTION("IMPORTRANGE(""https://docs.google.com/spreadsheets/d/1eHaY18a8A9IcSdp1K8H6x8fbOy06t2VsZHhMHf-1x7Y/edit?usp=sharing"",""แผน!BD25"")"),0)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IFERROR(__xludf.DUMMYFUNCTION("IMPORTRANGE(""https://docs.google.com/spreadsheets/d/1eHaY18a8A9IcSdp1K8H6x8fbOy06t2VsZHhMHf-1x7Y/edit?usp=sharing"",""แผน!BE25"")"),0)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IFERROR(__xludf.DUMMYFUNCTION("IMPORTRANGE(""https://docs.google.com/spreadsheets/d/1eHaY18a8A9IcSdp1K8H6x8fbOy06t2VsZHhMHf-1x7Y/edit?usp=sharing"",""แผน!BH25"")"),0)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IFERROR(__xludf.DUMMYFUNCTION("IMPORTRANGE(""https://docs.google.com/spreadsheets/d/1-uDff_7J0KD5mKrp0Vvzr7lt3OU09vwQwhkpOPPYv2Y/edit?usp=sharing"",""งบพรบ!DE25"")"),0)</f>
        <v>0</v>
      </c>
      <c r="M271" s="521">
        <f ca="1">IFERROR(__xludf.DUMMYFUNCTION("IMPORTRANGE(""https://docs.google.com/spreadsheets/d/1-uDff_7J0KD5mKrp0Vvzr7lt3OU09vwQwhkpOPPYv2Y/edit?usp=sharing"",""งบพรบ!DJ25"")"),0)</f>
        <v>0</v>
      </c>
      <c r="N271" s="521">
        <f ca="1">IFERROR(__xludf.DUMMYFUNCTION("IMPORTRANGE(""https://docs.google.com/spreadsheets/d/1-uDff_7J0KD5mKrp0Vvzr7lt3OU09vwQwhkpOPPYv2Y/edit?usp=sharing"",""งบพรบ!DL25"")"),0)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IFERROR(__xludf.DUMMYFUNCTION("IMPORTRANGE(""https://docs.google.com/spreadsheets/d/1-uDff_7J0KD5mKrp0Vvzr7lt3OU09vwQwhkpOPPYv2Y/edit?usp=sharing"",""งบพรบ!DH25"")"),0)</f>
        <v>0</v>
      </c>
      <c r="M274" s="521">
        <f ca="1">IFERROR(__xludf.DUMMYFUNCTION("IMPORTRANGE(""https://docs.google.com/spreadsheets/d/1-uDff_7J0KD5mKrp0Vvzr7lt3OU09vwQwhkpOPPYv2Y/edit?usp=sharing"",""งบพรบ!DK25"")"),0)</f>
        <v>0</v>
      </c>
      <c r="N274" s="521">
        <f ca="1">IFERROR(__xludf.DUMMYFUNCTION("IMPORTRANGE(""https://docs.google.com/spreadsheets/d/1-uDff_7J0KD5mKrp0Vvzr7lt3OU09vwQwhkpOPPYv2Y/edit?usp=sharing"",""งบพรบ!DM25"")"),0)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10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100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140120</v>
      </c>
      <c r="M282" s="577">
        <f ca="1">M283+M284</f>
        <v>105480</v>
      </c>
      <c r="N282" s="577">
        <f ca="1">N283+N284</f>
        <v>34119.440000000002</v>
      </c>
      <c r="O282" s="577">
        <f ca="1">IF(L282&gt;0,N282*100/L282,0)</f>
        <v>24.350157008278618</v>
      </c>
      <c r="P282" s="577">
        <f ca="1">IF(M282&gt;0,N282*100/M282,0)</f>
        <v>32.346833522942738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140120</v>
      </c>
      <c r="M284" s="425">
        <f ca="1">M287+M290</f>
        <v>105480</v>
      </c>
      <c r="N284" s="425">
        <f ca="1">N287+N290</f>
        <v>34119.440000000002</v>
      </c>
      <c r="O284" s="425">
        <f ca="1">IF(L284&gt;0,N284*100/L284,0)</f>
        <v>24.350157008278618</v>
      </c>
      <c r="P284" s="425">
        <f ca="1">IF(M284&gt;0,N284*100/M284,0)</f>
        <v>32.346833522942738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140120</v>
      </c>
      <c r="M285" s="425">
        <f ca="1">M286+M287</f>
        <v>105480</v>
      </c>
      <c r="N285" s="425">
        <f ca="1">N286+N287</f>
        <v>34119.440000000002</v>
      </c>
      <c r="O285" s="425">
        <f ca="1">IF(L285&gt;0,N285*100/L285,0)</f>
        <v>24.350157008278618</v>
      </c>
      <c r="P285" s="425">
        <f ca="1">IF(M285&gt;0,N285*100/M285,0)</f>
        <v>32.346833522942738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IFERROR(__xludf.DUMMYFUNCTION("IMPORTRANGE(""https://docs.google.com/spreadsheets/d/1-uDff_7J0KD5mKrp0Vvzr7lt3OU09vwQwhkpOPPYv2Y/edit?usp=sharing"",""งบพรบ!DO25"")"),140120)</f>
        <v>140120</v>
      </c>
      <c r="M287" s="425">
        <f ca="1">IFERROR(__xludf.DUMMYFUNCTION("IMPORTRANGE(""https://docs.google.com/spreadsheets/d/1-uDff_7J0KD5mKrp0Vvzr7lt3OU09vwQwhkpOPPYv2Y/edit?usp=sharing"",""งบพรบ!DT25"")"),105480)</f>
        <v>105480</v>
      </c>
      <c r="N287" s="425">
        <f ca="1">IFERROR(__xludf.DUMMYFUNCTION("IMPORTRANGE(""https://docs.google.com/spreadsheets/d/1-uDff_7J0KD5mKrp0Vvzr7lt3OU09vwQwhkpOPPYv2Y/edit?usp=sharing"",""งบพรบ!DV25"")"),34119.44)</f>
        <v>34119.440000000002</v>
      </c>
      <c r="O287" s="425">
        <f ca="1">IF(L287&gt;0,N287*100/L287,0)</f>
        <v>24.350157008278618</v>
      </c>
      <c r="P287" s="425">
        <f ca="1">IF(M287&gt;0,N287*100/M287,0)</f>
        <v>32.346833522942738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IFERROR(__xludf.DUMMYFUNCTION("IMPORTRANGE(""https://docs.google.com/spreadsheets/d/1-uDff_7J0KD5mKrp0Vvzr7lt3OU09vwQwhkpOPPYv2Y/edit?usp=sharing"",""งบพรบ!DR25"")"),0)</f>
        <v>0</v>
      </c>
      <c r="M290" s="425">
        <f ca="1">IFERROR(__xludf.DUMMYFUNCTION("IMPORTRANGE(""https://docs.google.com/spreadsheets/d/1-uDff_7J0KD5mKrp0Vvzr7lt3OU09vwQwhkpOPPYv2Y/edit?usp=sharing"",""งบพรบ!DU25"")"),0)</f>
        <v>0</v>
      </c>
      <c r="N290" s="425">
        <f ca="1">IFERROR(__xludf.DUMMYFUNCTION("IMPORTRANGE(""https://docs.google.com/spreadsheets/d/1-uDff_7J0KD5mKrp0Vvzr7lt3OU09vwQwhkpOPPYv2Y/edit?usp=sharing"",""งบพรบ!DW25"")"),0)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IFERROR(__xludf.DUMMYFUNCTION("IMPORTRANGE(""https://docs.google.com/spreadsheets/d/1eHaY18a8A9IcSdp1K8H6x8fbOy06t2VsZHhMHf-1x7Y/edit?usp=sharing"",""แผน!EE25"")"),100)</f>
        <v>100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IFERROR(__xludf.DUMMYFUNCTION("IMPORTRANGE(""https://docs.google.com/spreadsheets/d/1eHaY18a8A9IcSdp1K8H6x8fbOy06t2VsZHhMHf-1x7Y/edit?usp=sharing"",""แผน!ED25"")"),10)</f>
        <v>10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IFERROR(__xludf.DUMMYFUNCTION("IMPORTRANGE(""https://docs.google.com/spreadsheets/d/1eHaY18a8A9IcSdp1K8H6x8fbOy06t2VsZHhMHf-1x7Y/edit?usp=sharing"",""แผน!ED25"")"),10)</f>
        <v>10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IFERROR(__xludf.DUMMYFUNCTION("IMPORTRANGE(""https://docs.google.com/spreadsheets/d/1eHaY18a8A9IcSdp1K8H6x8fbOy06t2VsZHhMHf-1x7Y/edit?usp=sharing"",""แผน!ED25"")"),10)</f>
        <v>10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IFERROR(__xludf.DUMMYFUNCTION("IMPORTRANGE(""https://docs.google.com/spreadsheets/d/1-uDff_7J0KD5mKrp0Vvzr7lt3OU09vwQwhkpOPPYv2Y/edit?usp=sharing"",""งบพรบ!DY25"")"),0)</f>
        <v>0</v>
      </c>
      <c r="M308" s="425">
        <f ca="1">IFERROR(__xludf.DUMMYFUNCTION("IMPORTRANGE(""https://docs.google.com/spreadsheets/d/1-uDff_7J0KD5mKrp0Vvzr7lt3OU09vwQwhkpOPPYv2Y/edit?usp=sharing"",""งบพรบ!ED25"")"),0)</f>
        <v>0</v>
      </c>
      <c r="N308" s="425">
        <f ca="1">IFERROR(__xludf.DUMMYFUNCTION("IMPORTRANGE(""https://docs.google.com/spreadsheets/d/1-uDff_7J0KD5mKrp0Vvzr7lt3OU09vwQwhkpOPPYv2Y/edit?usp=sharing"",""งบพรบ!EF25"")"),0)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IFERROR(__xludf.DUMMYFUNCTION("IMPORTRANGE(""https://docs.google.com/spreadsheets/d/1-uDff_7J0KD5mKrp0Vvzr7lt3OU09vwQwhkpOPPYv2Y/edit?usp=sharing"",""งบพรบ!EB25"")"),0)</f>
        <v>0</v>
      </c>
      <c r="M311" s="425">
        <f ca="1">IFERROR(__xludf.DUMMYFUNCTION("IMPORTRANGE(""https://docs.google.com/spreadsheets/d/1-uDff_7J0KD5mKrp0Vvzr7lt3OU09vwQwhkpOPPYv2Y/edit?usp=sharing"",""งบพรบ!EE25"")"),0)</f>
        <v>0</v>
      </c>
      <c r="N311" s="425">
        <f ca="1">IFERROR(__xludf.DUMMYFUNCTION("IMPORTRANGE(""https://docs.google.com/spreadsheets/d/1-uDff_7J0KD5mKrp0Vvzr7lt3OU09vwQwhkpOPPYv2Y/edit?usp=sharing"",""งบพรบ!EG25"")"),0)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IFERROR(__xludf.DUMMYFUNCTION("IMPORTRANGE(""https://docs.google.com/spreadsheets/d/1eHaY18a8A9IcSdp1K8H6x8fbOy06t2VsZHhMHf-1x7Y/edit?usp=sharing"",""แผน!EF25"")"),0)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IFERROR(__xludf.DUMMYFUNCTION("IMPORTRANGE(""https://docs.google.com/spreadsheets/d/1eHaY18a8A9IcSdp1K8H6x8fbOy06t2VsZHhMHf-1x7Y/edit?usp=sharing"",""แผน!EG25"")"),0)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IFERROR(__xludf.DUMMYFUNCTION("IMPORTRANGE(""https://docs.google.com/spreadsheets/d/1eHaY18a8A9IcSdp1K8H6x8fbOy06t2VsZHhMHf-1x7Y/edit?usp=sharing"",""แผน!EH25"")"),0)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IFERROR(__xludf.DUMMYFUNCTION("IMPORTRANGE(""https://docs.google.com/spreadsheets/d/1eHaY18a8A9IcSdp1K8H6x8fbOy06t2VsZHhMHf-1x7Y/edit?usp=sharing"",""แผน!EI25"")"),0)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IFERROR(__xludf.DUMMYFUNCTION("IMPORTRANGE(""https://docs.google.com/spreadsheets/d/1-uDff_7J0KD5mKrp0Vvzr7lt3OU09vwQwhkpOPPYv2Y/edit?usp=sharing"",""งบพรบ!EI25"")"),0)</f>
        <v>0</v>
      </c>
      <c r="M325" s="425">
        <f ca="1">IFERROR(__xludf.DUMMYFUNCTION("IMPORTRANGE(""https://docs.google.com/spreadsheets/d/1-uDff_7J0KD5mKrp0Vvzr7lt3OU09vwQwhkpOPPYv2Y/edit?usp=sharing"",""งบพรบ!EN25"")"),0)</f>
        <v>0</v>
      </c>
      <c r="N325" s="425">
        <f ca="1">IFERROR(__xludf.DUMMYFUNCTION("IMPORTRANGE(""https://docs.google.com/spreadsheets/d/1-uDff_7J0KD5mKrp0Vvzr7lt3OU09vwQwhkpOPPYv2Y/edit?usp=sharing"",""งบพรบ!EP25"")"),0)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IFERROR(__xludf.DUMMYFUNCTION("IMPORTRANGE(""https://docs.google.com/spreadsheets/d/1-uDff_7J0KD5mKrp0Vvzr7lt3OU09vwQwhkpOPPYv2Y/edit?usp=sharing"",""งบพรบ!EL25"")"),0)</f>
        <v>0</v>
      </c>
      <c r="M328" s="425">
        <f ca="1">IFERROR(__xludf.DUMMYFUNCTION("IMPORTRANGE(""https://docs.google.com/spreadsheets/d/1-uDff_7J0KD5mKrp0Vvzr7lt3OU09vwQwhkpOPPYv2Y/edit?usp=sharing"",""งบพรบ!EO25"")"),0)</f>
        <v>0</v>
      </c>
      <c r="N328" s="425">
        <f ca="1">IFERROR(__xludf.DUMMYFUNCTION("IMPORTRANGE(""https://docs.google.com/spreadsheets/d/1-uDff_7J0KD5mKrp0Vvzr7lt3OU09vwQwhkpOPPYv2Y/edit?usp=sharing"",""งบพรบ!EQ25"")"),0)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IFERROR(__xludf.DUMMYFUNCTION("IMPORTRANGE(""https://docs.google.com/spreadsheets/d/1eHaY18a8A9IcSdp1K8H6x8fbOy06t2VsZHhMHf-1x7Y/edit?usp=sharing"",""แผน!EJ25"")"),0)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260</v>
      </c>
      <c r="J332" s="402">
        <f ca="1">J344+J347+J348+J349+J353</f>
        <v>300</v>
      </c>
      <c r="K332" s="403">
        <f ca="1">IF(I332&gt;0,J332*100/I332,0)</f>
        <v>115.38461538461539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105000</v>
      </c>
      <c r="M333" s="577">
        <f ca="1">M334+M335</f>
        <v>83350</v>
      </c>
      <c r="N333" s="577">
        <f ca="1">N334+N335</f>
        <v>29550</v>
      </c>
      <c r="O333" s="577">
        <f ca="1">IF(L333&gt;0,N333*100/L333,0)</f>
        <v>28.142857142857142</v>
      </c>
      <c r="P333" s="577">
        <f ca="1">IF(M333&gt;0,N333*100/M333,0)</f>
        <v>35.452909418116377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105000</v>
      </c>
      <c r="M335" s="425">
        <f ca="1">M338+M341</f>
        <v>83350</v>
      </c>
      <c r="N335" s="425">
        <f ca="1">N338+N341</f>
        <v>29550</v>
      </c>
      <c r="O335" s="425">
        <f ca="1">IF(L335&gt;0,N335*100/L335,0)</f>
        <v>28.142857142857142</v>
      </c>
      <c r="P335" s="425">
        <f ca="1">IF(M335&gt;0,N335*100/M335,0)</f>
        <v>35.452909418116377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105000</v>
      </c>
      <c r="M336" s="425">
        <f ca="1">M337+M338</f>
        <v>83350</v>
      </c>
      <c r="N336" s="425">
        <f ca="1">N337+N338</f>
        <v>29550</v>
      </c>
      <c r="O336" s="425">
        <f ca="1">IF(L336&gt;0,N336*100/L336,0)</f>
        <v>28.142857142857142</v>
      </c>
      <c r="P336" s="425">
        <f ca="1">IF(M336&gt;0,N336*100/M336,0)</f>
        <v>35.452909418116377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IFERROR(__xludf.DUMMYFUNCTION("IMPORTRANGE(""https://docs.google.com/spreadsheets/d/1-uDff_7J0KD5mKrp0Vvzr7lt3OU09vwQwhkpOPPYv2Y/edit?usp=sharing"",""งบพรบ!ES25"")"),105000)</f>
        <v>105000</v>
      </c>
      <c r="M338" s="425">
        <f ca="1">IFERROR(__xludf.DUMMYFUNCTION("IMPORTRANGE(""https://docs.google.com/spreadsheets/d/1-uDff_7J0KD5mKrp0Vvzr7lt3OU09vwQwhkpOPPYv2Y/edit?usp=sharing"",""งบพรบ!EX25"")"),83350)</f>
        <v>83350</v>
      </c>
      <c r="N338" s="425">
        <f ca="1">IFERROR(__xludf.DUMMYFUNCTION("IMPORTRANGE(""https://docs.google.com/spreadsheets/d/1-uDff_7J0KD5mKrp0Vvzr7lt3OU09vwQwhkpOPPYv2Y/edit?usp=sharing"",""งบพรบ!EZ25"")"),29550)</f>
        <v>29550</v>
      </c>
      <c r="O338" s="425">
        <f ca="1">IF(L338&gt;0,N338*100/L338,0)</f>
        <v>28.142857142857142</v>
      </c>
      <c r="P338" s="425">
        <f ca="1">IF(M338&gt;0,N338*100/M338,0)</f>
        <v>35.452909418116377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IFERROR(__xludf.DUMMYFUNCTION("IMPORTRANGE(""https://docs.google.com/spreadsheets/d/1-uDff_7J0KD5mKrp0Vvzr7lt3OU09vwQwhkpOPPYv2Y/edit?usp=sharing"",""งบพรบ!EV25"")"),0)</f>
        <v>0</v>
      </c>
      <c r="M341" s="425">
        <f ca="1">IFERROR(__xludf.DUMMYFUNCTION("IMPORTRANGE(""https://docs.google.com/spreadsheets/d/1-uDff_7J0KD5mKrp0Vvzr7lt3OU09vwQwhkpOPPYv2Y/edit?usp=sharing"",""งบพรบ!EY25"")"),0)</f>
        <v>0</v>
      </c>
      <c r="N341" s="425">
        <f ca="1">IFERROR(__xludf.DUMMYFUNCTION("IMPORTRANGE(""https://docs.google.com/spreadsheets/d/1-uDff_7J0KD5mKrp0Vvzr7lt3OU09vwQwhkpOPPYv2Y/edit?usp=sharing"",""งบพรบ!FA25"")"),0)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32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IFERROR(__xludf.DUMMYFUNCTION("IMPORTRANGE(""https://docs.google.com/spreadsheets/d/1eHaY18a8A9IcSdp1K8H6x8fbOy06t2VsZHhMHf-1x7Y/edit?usp=sharing"",""แผน!EK25"")"),260)</f>
        <v>260</v>
      </c>
      <c r="J344" s="424">
        <f ca="1">IFERROR(__xludf.DUMMYFUNCTION("IMPORTRANGE(""https://docs.google.com/spreadsheets/d/1awYsYK3VOup2i3Pq_Yjnu8DRu_mYwSBnCR2QPthd0rU/edit?usp=sharing"",""ศูนย์ยกเว้นโฉนด!D25"")"),29)</f>
        <v>29</v>
      </c>
      <c r="K344" s="425">
        <f ca="1">IF(I344&gt;0,J344*100/I344,0)</f>
        <v>11.153846153846153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IFERROR(__xludf.DUMMYFUNCTION("IMPORTRANGE(""https://docs.google.com/spreadsheets/d/1eHaY18a8A9IcSdp1K8H6x8fbOy06t2VsZHhMHf-1x7Y/edit?usp=sharing"",""แผน!EL25"")"),4)</f>
        <v>4</v>
      </c>
      <c r="J346" s="424">
        <f ca="1">IFERROR(__xludf.DUMMYFUNCTION("IMPORTRANGE(""https://docs.google.com/spreadsheets/d/1awYsYK3VOup2i3Pq_Yjnu8DRu_mYwSBnCR2QPthd0rU/edit?usp=sharing"",""ศูนย์รวม!E25"")"),2)</f>
        <v>2</v>
      </c>
      <c r="K346" s="425">
        <f ca="1">IF(I346&gt;0,J346*100/I346,0)</f>
        <v>50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IFERROR(__xludf.DUMMYFUNCTION("IMPORTRANGE(""https://docs.google.com/spreadsheets/d/1awYsYK3VOup2i3Pq_Yjnu8DRu_mYwSBnCR2QPthd0rU/edit?usp=sharing"",""ศูนย์ยกเว้นโฉนด!F25"")"),1)</f>
        <v>1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IFERROR(__xludf.DUMMYFUNCTION("IMPORTRANGE(""https://docs.google.com/spreadsheets/d/1awYsYK3VOup2i3Pq_Yjnu8DRu_mYwSBnCR2QPthd0rU/edit?usp=sharing"",""ศูนย์ยกเว้นโฉนด!G25"")"),2)</f>
        <v>2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IFERROR(__xludf.DUMMYFUNCTION("IMPORTRANGE(""https://docs.google.com/spreadsheets/d/1awYsYK3VOup2i3Pq_Yjnu8DRu_mYwSBnCR2QPthd0rU/edit?usp=sharing"",""ศูนย์ยกเว้นโฉนด!H25"")"),0)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271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IFERROR(__xludf.DUMMYFUNCTION("IMPORTRANGE(""https://docs.google.com/spreadsheets/d/1awYsYK3VOup2i3Pq_Yjnu8DRu_mYwSBnCR2QPthd0rU/edit?usp=sharing"",""โฉนดM3!G25"")"),3)</f>
        <v>3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IFERROR(__xludf.DUMMYFUNCTION("IMPORTRANGE(""https://docs.google.com/spreadsheets/d/1awYsYK3VOup2i3Pq_Yjnu8DRu_mYwSBnCR2QPthd0rU/edit?usp=sharing"",""โฉนดM3!H25"")"),268)</f>
        <v>268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446775</v>
      </c>
      <c r="M356" s="577">
        <f ca="1">M357+M358</f>
        <v>334575</v>
      </c>
      <c r="N356" s="577">
        <f ca="1">N357+N358</f>
        <v>9000</v>
      </c>
      <c r="O356" s="577">
        <f ca="1">IF(L356&gt;0,N356*100/L356,0)</f>
        <v>2.0144367970454926</v>
      </c>
      <c r="P356" s="577">
        <f ca="1">IF(M356&gt;0,N356*100/M356,0)</f>
        <v>2.6899798251513114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446775</v>
      </c>
      <c r="M358" s="425">
        <f ca="1">M361+M364</f>
        <v>334575</v>
      </c>
      <c r="N358" s="425">
        <f ca="1">N361+N364</f>
        <v>9000</v>
      </c>
      <c r="O358" s="425">
        <f ca="1">IF(L358&gt;0,N358*100/L358,0)</f>
        <v>2.0144367970454926</v>
      </c>
      <c r="P358" s="425">
        <f ca="1">IF(M358&gt;0,N358*100/M358,0)</f>
        <v>2.6899798251513114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446775</v>
      </c>
      <c r="M359" s="425">
        <f ca="1">M360+M361</f>
        <v>334575</v>
      </c>
      <c r="N359" s="425">
        <f ca="1">N360+N361</f>
        <v>9000</v>
      </c>
      <c r="O359" s="425">
        <f ca="1">IF(L359&gt;0,N359*100/L359,0)</f>
        <v>2.0144367970454926</v>
      </c>
      <c r="P359" s="425">
        <f ca="1">IF(M359&gt;0,N359*100/M359,0)</f>
        <v>2.6899798251513114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IFERROR(__xludf.DUMMYFUNCTION("IMPORTRANGE(""https://docs.google.com/spreadsheets/d/1-uDff_7J0KD5mKrp0Vvzr7lt3OU09vwQwhkpOPPYv2Y/edit?usp=sharing"",""งบพรบ!FC25"")"),446775)</f>
        <v>446775</v>
      </c>
      <c r="M361" s="425">
        <f ca="1">IFERROR(__xludf.DUMMYFUNCTION("IMPORTRANGE(""https://docs.google.com/spreadsheets/d/1-uDff_7J0KD5mKrp0Vvzr7lt3OU09vwQwhkpOPPYv2Y/edit?usp=sharing"",""งบพรบ!FH25"")"),334575)</f>
        <v>334575</v>
      </c>
      <c r="N361" s="425">
        <f ca="1">IFERROR(__xludf.DUMMYFUNCTION("IMPORTRANGE(""https://docs.google.com/spreadsheets/d/1-uDff_7J0KD5mKrp0Vvzr7lt3OU09vwQwhkpOPPYv2Y/edit?usp=sharing"",""งบพรบ!FJ25"")"),9000)</f>
        <v>9000</v>
      </c>
      <c r="O361" s="425">
        <f ca="1">IF(L361&gt;0,N361*100/L361,0)</f>
        <v>2.0144367970454926</v>
      </c>
      <c r="P361" s="425">
        <f ca="1">IF(M361&gt;0,N361*100/M361,0)</f>
        <v>2.6899798251513114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IFERROR(__xludf.DUMMYFUNCTION("IMPORTRANGE(""https://docs.google.com/spreadsheets/d/1-uDff_7J0KD5mKrp0Vvzr7lt3OU09vwQwhkpOPPYv2Y/edit?usp=sharing"",""งบพรบ!FF25"")"),0)</f>
        <v>0</v>
      </c>
      <c r="M364" s="425">
        <f ca="1">IFERROR(__xludf.DUMMYFUNCTION("IMPORTRANGE(""https://docs.google.com/spreadsheets/d/1-uDff_7J0KD5mKrp0Vvzr7lt3OU09vwQwhkpOPPYv2Y/edit?usp=sharing"",""งบพรบ!FI25"")"),0)</f>
        <v>0</v>
      </c>
      <c r="N364" s="425">
        <f ca="1">IFERROR(__xludf.DUMMYFUNCTION("IMPORTRANGE(""https://docs.google.com/spreadsheets/d/1-uDff_7J0KD5mKrp0Vvzr7lt3OU09vwQwhkpOPPYv2Y/edit?usp=sharing"",""งบพรบ!FK25"")"),0)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40</v>
      </c>
      <c r="J365" s="438">
        <f ca="1">J371</f>
        <v>4</v>
      </c>
      <c r="K365" s="439">
        <f ca="1">IF(I365&gt;0,J365*100/I365,0)</f>
        <v>10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IFERROR(__xludf.DUMMYFUNCTION("IMPORTRANGE(""https://docs.google.com/spreadsheets/d/1tdoBKaGub7dwA3U6UFTqxio9LNnvDCQjHKmttSEBsFQ/edit?usp=sharing"",""จัดที่ดิน!AB25"")"),0)</f>
        <v>0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IFERROR(__xludf.DUMMYFUNCTION("IMPORTRANGE(""https://docs.google.com/spreadsheets/d/1eHaY18a8A9IcSdp1K8H6x8fbOy06t2VsZHhMHf-1x7Y/edit?usp=sharing"",""แผน!EW25"")"),235)</f>
        <v>235</v>
      </c>
      <c r="J368" s="565">
        <f ca="1">IFERROR(__xludf.DUMMYFUNCTION("IMPORTRANGE(""https://docs.google.com/spreadsheets/d/1tdoBKaGub7dwA3U6UFTqxio9LNnvDCQjHKmttSEBsFQ/edit?usp=sharing"",""จัดที่ดิน!AC25"")"),0)</f>
        <v>0</v>
      </c>
      <c r="K368" s="425">
        <f ca="1">IF(I368&gt;0,J368*100/I368,0)</f>
        <v>0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IFERROR(__xludf.DUMMYFUNCTION("IMPORTRANGE(""https://docs.google.com/spreadsheets/d/1eHaY18a8A9IcSdp1K8H6x8fbOy06t2VsZHhMHf-1x7Y/edit?usp=sharing"",""แผน!EX25"")"),59)</f>
        <v>59</v>
      </c>
      <c r="J369" s="424">
        <f ca="1">IFERROR(__xludf.DUMMYFUNCTION("IMPORTRANGE(""https://docs.google.com/spreadsheets/d/1tdoBKaGub7dwA3U6UFTqxio9LNnvDCQjHKmttSEBsFQ/edit?usp=sharing"",""จัดที่ดิน!AD25"")"),4)</f>
        <v>4</v>
      </c>
      <c r="K369" s="425">
        <f ca="1">IF(I369&gt;0,J369*100/I369,0)</f>
        <v>6.7796610169491522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IFERROR(__xludf.DUMMYFUNCTION("IMPORTRANGE(""https://docs.google.com/spreadsheets/d/1tdoBKaGub7dwA3U6UFTqxio9LNnvDCQjHKmttSEBsFQ/edit?usp=sharing"",""จัดที่ดิน!AE25"")"),28.16)</f>
        <v>28.16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IFERROR(__xludf.DUMMYFUNCTION("IMPORTRANGE(""https://docs.google.com/spreadsheets/d/1eHaY18a8A9IcSdp1K8H6x8fbOy06t2VsZHhMHf-1x7Y/edit?usp=sharing"",""แผน!EY25"")"),40)</f>
        <v>40</v>
      </c>
      <c r="J371" s="424">
        <f ca="1">IFERROR(__xludf.DUMMYFUNCTION("IMPORTRANGE(""https://docs.google.com/spreadsheets/d/1tdoBKaGub7dwA3U6UFTqxio9LNnvDCQjHKmttSEBsFQ/edit?usp=sharing"",""จัดที่ดิน!AF25"")"),4)</f>
        <v>4</v>
      </c>
      <c r="K371" s="425">
        <f ca="1">IF(I371&gt;0,J371*100/I371,0)</f>
        <v>10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IFERROR(__xludf.DUMMYFUNCTION("IMPORTRANGE(""https://docs.google.com/spreadsheets/d/1tdoBKaGub7dwA3U6UFTqxio9LNnvDCQjHKmttSEBsFQ/edit?usp=sharing"",""จัดที่ดิน!AG25"")"),28.16)</f>
        <v>28.16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IFERROR(__xludf.DUMMYFUNCTION("IMPORTRANGE(""https://docs.google.com/spreadsheets/d/1-uDff_7J0KD5mKrp0Vvzr7lt3OU09vwQwhkpOPPYv2Y/edit?usp=sharing"",""งบพรบ!FM25"")"),0)</f>
        <v>0</v>
      </c>
      <c r="M382" s="521">
        <f ca="1">IFERROR(__xludf.DUMMYFUNCTION("IMPORTRANGE(""https://docs.google.com/spreadsheets/d/1-uDff_7J0KD5mKrp0Vvzr7lt3OU09vwQwhkpOPPYv2Y/edit?usp=sharing"",""งบพรบ!FR25"")"),0)</f>
        <v>0</v>
      </c>
      <c r="N382" s="521">
        <f ca="1">IFERROR(__xludf.DUMMYFUNCTION("IMPORTRANGE(""https://docs.google.com/spreadsheets/d/1-uDff_7J0KD5mKrp0Vvzr7lt3OU09vwQwhkpOPPYv2Y/edit?usp=sharing"",""งบพรบ!FT25"")"),0)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IFERROR(__xludf.DUMMYFUNCTION("IMPORTRANGE(""https://docs.google.com/spreadsheets/d/1-uDff_7J0KD5mKrp0Vvzr7lt3OU09vwQwhkpOPPYv2Y/edit?usp=sharing"",""งบพรบ!FP25"")"),0)</f>
        <v>0</v>
      </c>
      <c r="M385" s="521">
        <f ca="1">IFERROR(__xludf.DUMMYFUNCTION("IMPORTRANGE(""https://docs.google.com/spreadsheets/d/1-uDff_7J0KD5mKrp0Vvzr7lt3OU09vwQwhkpOPPYv2Y/edit?usp=sharing"",""งบพรบ!FS25"")"),0)</f>
        <v>0</v>
      </c>
      <c r="N385" s="521">
        <f ca="1">IFERROR(__xludf.DUMMYFUNCTION("IMPORTRANGE(""https://docs.google.com/spreadsheets/d/1-uDff_7J0KD5mKrp0Vvzr7lt3OU09vwQwhkpOPPYv2Y/edit?usp=sharing"",""งบพรบ!FU25"")"),0)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9A3E-8CA1-4625-BCA4-05460F962674}">
  <sheetPr>
    <outlinePr summaryBelow="0" summaryRight="0"/>
  </sheetPr>
  <dimension ref="A1:P391"/>
  <sheetViews>
    <sheetView view="pageBreakPreview" zoomScale="60" zoomScaleNormal="70" workbookViewId="0">
      <pane xSplit="8" ySplit="6" topLeftCell="I41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177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1866805</v>
      </c>
      <c r="M18" s="704">
        <f ca="1">M19+M20</f>
        <v>1690885</v>
      </c>
      <c r="N18" s="704">
        <f ca="1">N19+N20</f>
        <v>721085.17999999993</v>
      </c>
      <c r="O18" s="704">
        <f ca="1">IF(L18&gt;0,N18*100/L18,0)</f>
        <v>38.626700699858851</v>
      </c>
      <c r="P18" s="704">
        <f ca="1">IF(M18&gt;0,N18*100/M18,0)</f>
        <v>42.64543005585832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1866805</v>
      </c>
      <c r="M20" s="817">
        <f ca="1">M23+M26</f>
        <v>1690885</v>
      </c>
      <c r="N20" s="817">
        <f ca="1">N23+N26</f>
        <v>721085.17999999993</v>
      </c>
      <c r="O20" s="817">
        <f ca="1">IF(L20&gt;0,N20*100/L20,0)</f>
        <v>38.626700699858851</v>
      </c>
      <c r="P20" s="817">
        <f ca="1">IF(M20&gt;0,N20*100/M20,0)</f>
        <v>42.64543005585832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1866805</v>
      </c>
      <c r="M21" s="425">
        <f ca="1">M22+M23</f>
        <v>1690885</v>
      </c>
      <c r="N21" s="425">
        <f ca="1">N22+N23</f>
        <v>721085.17999999993</v>
      </c>
      <c r="O21" s="425">
        <f ca="1">IF(L21&gt;0,N21*100/L21,0)</f>
        <v>38.626700699858851</v>
      </c>
      <c r="P21" s="425">
        <f ca="1">IF(M21&gt;0,N21*100/M21,0)</f>
        <v>42.64543005585832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1866805</v>
      </c>
      <c r="M23" s="425">
        <f ca="1">M49+M64+M77+M99+M130+M144+M162+M191+M178+M271+M287+M308+M325+M338+M361+M382</f>
        <v>1690885</v>
      </c>
      <c r="N23" s="425">
        <f ca="1">N49+N64+N77+N99+N130+N144+N162+N191+N178+N271+N287+N308+N325+N338+N361+N382</f>
        <v>721085.17999999993</v>
      </c>
      <c r="O23" s="425">
        <f ca="1">IF(L23&gt;0,N23*100/L23,0)</f>
        <v>38.626700699858851</v>
      </c>
      <c r="P23" s="425">
        <f ca="1">IF(M23&gt;0,N23*100/M23,0)</f>
        <v>42.64543005585832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1866805</v>
      </c>
      <c r="M40" s="809">
        <f ca="1">M44+M59+M72+M94+M125+M139+M157+M173+M186+M266+M282+M303+M320+M333+M356</f>
        <v>1690885</v>
      </c>
      <c r="N40" s="809">
        <f ca="1">N44+N59+N72+N94+N125+N139+N157+N173+N186+N266+N282+N303+N320+N333+N356</f>
        <v>721085.17999999993</v>
      </c>
      <c r="O40" s="809">
        <f ca="1">IF(L40&gt;0,N40*100/L40,0)</f>
        <v>38.626700699858851</v>
      </c>
      <c r="P40" s="809">
        <f ca="1">IF(M40&gt;0,N40*100/M40,0)</f>
        <v>42.64543005585832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357400</v>
      </c>
      <c r="M44" s="794">
        <f ca="1">M45+M46</f>
        <v>367700</v>
      </c>
      <c r="N44" s="794">
        <f ca="1">N45+N46</f>
        <v>149500</v>
      </c>
      <c r="O44" s="794">
        <f ca="1">IF(L44&gt;0,N44*100/L44,0)</f>
        <v>41.829882484611083</v>
      </c>
      <c r="P44" s="794">
        <f ca="1">IF(M44&gt;0,N44*100/M44,0)</f>
        <v>40.658145227087303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357400</v>
      </c>
      <c r="M46" s="783">
        <f ca="1">M49+M52</f>
        <v>367700</v>
      </c>
      <c r="N46" s="783">
        <f ca="1">N49+N52</f>
        <v>149500</v>
      </c>
      <c r="O46" s="783">
        <f ca="1">IF(L46&gt;0,N46*100/L46,0)</f>
        <v>41.829882484611083</v>
      </c>
      <c r="P46" s="783">
        <f ca="1">IF(M46&gt;0,N46*100/M46,0)</f>
        <v>40.658145227087303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357400</v>
      </c>
      <c r="M47" s="425">
        <f ca="1">M48+M49</f>
        <v>367700</v>
      </c>
      <c r="N47" s="425">
        <f ca="1">N48+N49</f>
        <v>149500</v>
      </c>
      <c r="O47" s="425">
        <f ca="1">IF(L47&gt;0,N47*100/L47,0)</f>
        <v>41.829882484611083</v>
      </c>
      <c r="P47" s="425">
        <f ca="1">IF(M47&gt;0,N47*100/M47,0)</f>
        <v>40.658145227087303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IFERROR(__xludf.DUMMYFUNCTION("IMPORTRANGE(""https://docs.google.com/spreadsheets/d/1-uDff_7J0KD5mKrp0Vvzr7lt3OU09vwQwhkpOPPYv2Y/edit?usp=sharing"",""งบพรบ!P26"")"),357400)</f>
        <v>357400</v>
      </c>
      <c r="M49" s="425">
        <f ca="1">IFERROR(__xludf.DUMMYFUNCTION("IMPORTRANGE(""https://docs.google.com/spreadsheets/d/1-uDff_7J0KD5mKrp0Vvzr7lt3OU09vwQwhkpOPPYv2Y/edit?usp=sharing"",""งบพรบ!V26"")"),367700)</f>
        <v>367700</v>
      </c>
      <c r="N49" s="425">
        <f ca="1">IFERROR(__xludf.DUMMYFUNCTION("IMPORTRANGE(""https://docs.google.com/spreadsheets/d/1-uDff_7J0KD5mKrp0Vvzr7lt3OU09vwQwhkpOPPYv2Y/edit?usp=sharing"",""งบพรบ!Y26"")"),149500)</f>
        <v>149500</v>
      </c>
      <c r="O49" s="425">
        <f ca="1">IF(L49&gt;0,N49*100/L49,0)</f>
        <v>41.829882484611083</v>
      </c>
      <c r="P49" s="425">
        <f ca="1">IF(M49&gt;0,N49*100/M49,0)</f>
        <v>40.658145227087303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IFERROR(__xludf.DUMMYFUNCTION("IMPORTRANGE(""https://docs.google.com/spreadsheets/d/1-uDff_7J0KD5mKrp0Vvzr7lt3OU09vwQwhkpOPPYv2Y/edit?usp=sharing"",""งบพรบ!S26"")"),0)</f>
        <v>0</v>
      </c>
      <c r="M52" s="425">
        <f ca="1">IFERROR(__xludf.DUMMYFUNCTION("IMPORTRANGE(""https://docs.google.com/spreadsheets/d/1-uDff_7J0KD5mKrp0Vvzr7lt3OU09vwQwhkpOPPYv2Y/edit?usp=sharing"",""งบพรบ!W26"")"),0)</f>
        <v>0</v>
      </c>
      <c r="N52" s="425">
        <f ca="1">IFERROR(__xludf.DUMMYFUNCTION("IMPORTRANGE(""https://docs.google.com/spreadsheets/d/1-uDff_7J0KD5mKrp0Vvzr7lt3OU09vwQwhkpOPPYv2Y/edit?usp=sharing"",""งบพรบ!Z26"")"),0)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439800</v>
      </c>
      <c r="M59" s="763">
        <f ca="1">M60+M61</f>
        <v>331950</v>
      </c>
      <c r="N59" s="763">
        <f ca="1">N60+N61</f>
        <v>226116.8</v>
      </c>
      <c r="O59" s="763">
        <f ca="1">IF(L59&gt;0,N59*100/L59,0)</f>
        <v>51.413551614370171</v>
      </c>
      <c r="P59" s="763">
        <f ca="1">IF(M59&gt;0,N59*100/M59,0)</f>
        <v>68.117728573580365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439800</v>
      </c>
      <c r="M61" s="752">
        <f ca="1">M64+M67</f>
        <v>331950</v>
      </c>
      <c r="N61" s="752">
        <f ca="1">N64+N67</f>
        <v>226116.8</v>
      </c>
      <c r="O61" s="752">
        <f ca="1">IF(L61&gt;0,N61*100/L61,0)</f>
        <v>51.413551614370171</v>
      </c>
      <c r="P61" s="752">
        <f ca="1">IF(M61&gt;0,N61*100/M61,0)</f>
        <v>68.117728573580365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439800</v>
      </c>
      <c r="M62" s="425">
        <f ca="1">M63+M64</f>
        <v>331950</v>
      </c>
      <c r="N62" s="425">
        <f ca="1">N63+N64</f>
        <v>226116.8</v>
      </c>
      <c r="O62" s="425">
        <f ca="1">IF(L62&gt;0,N62*100/L62,0)</f>
        <v>51.413551614370171</v>
      </c>
      <c r="P62" s="425">
        <f ca="1">IF(M62&gt;0,N62*100/M62,0)</f>
        <v>68.117728573580365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IFERROR(__xludf.DUMMYFUNCTION("IMPORTRANGE(""https://docs.google.com/spreadsheets/d/1-uDff_7J0KD5mKrp0Vvzr7lt3OU09vwQwhkpOPPYv2Y/edit?usp=sharing"",""งบพรบ!AC26"")"),439800)</f>
        <v>439800</v>
      </c>
      <c r="M64" s="425">
        <f ca="1">IFERROR(__xludf.DUMMYFUNCTION("IMPORTRANGE(""https://docs.google.com/spreadsheets/d/1-uDff_7J0KD5mKrp0Vvzr7lt3OU09vwQwhkpOPPYv2Y/edit?usp=sharing"",""งบพรบ!AH26"")"),331950)</f>
        <v>331950</v>
      </c>
      <c r="N64" s="425">
        <f ca="1">IFERROR(__xludf.DUMMYFUNCTION("IMPORTRANGE(""https://docs.google.com/spreadsheets/d/1-uDff_7J0KD5mKrp0Vvzr7lt3OU09vwQwhkpOPPYv2Y/edit?usp=sharing"",""งบพรบ!AJ26"")"),226116.8)</f>
        <v>226116.8</v>
      </c>
      <c r="O64" s="425">
        <f ca="1">IF(L64&gt;0,N64*100/L64,0)</f>
        <v>51.413551614370171</v>
      </c>
      <c r="P64" s="425">
        <f ca="1">IF(M64&gt;0,N64*100/M64,0)</f>
        <v>68.117728573580365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IFERROR(__xludf.DUMMYFUNCTION("IMPORTRANGE(""https://docs.google.com/spreadsheets/d/1-uDff_7J0KD5mKrp0Vvzr7lt3OU09vwQwhkpOPPYv2Y/edit?usp=sharing"",""งบพรบ!AF26"")"),0)</f>
        <v>0</v>
      </c>
      <c r="M67" s="747">
        <f ca="1">IFERROR(__xludf.DUMMYFUNCTION("IMPORTRANGE(""https://docs.google.com/spreadsheets/d/1-uDff_7J0KD5mKrp0Vvzr7lt3OU09vwQwhkpOPPYv2Y/edit?usp=sharing"",""งบพรบ!AI26"")"),0)</f>
        <v>0</v>
      </c>
      <c r="N67" s="747">
        <f ca="1">IFERROR(__xludf.DUMMYFUNCTION("IMPORTRANGE(""https://docs.google.com/spreadsheets/d/1-uDff_7J0KD5mKrp0Vvzr7lt3OU09vwQwhkpOPPYv2Y/edit?usp=sharing"",""งบพรบ!AK26"")"),0)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IFERROR(__xludf.DUMMYFUNCTION("IMPORTRANGE(""https://docs.google.com/spreadsheets/d/1-uDff_7J0KD5mKrp0Vvzr7lt3OU09vwQwhkpOPPYv2Y/edit?usp=sharing"",""งบพรบ!AM26"")"),0)</f>
        <v>0</v>
      </c>
      <c r="M77" s="425">
        <f ca="1">IFERROR(__xludf.DUMMYFUNCTION("IMPORTRANGE(""https://docs.google.com/spreadsheets/d/1-uDff_7J0KD5mKrp0Vvzr7lt3OU09vwQwhkpOPPYv2Y/edit?usp=sharing"",""งบพรบ!AR26"")"),0)</f>
        <v>0</v>
      </c>
      <c r="N77" s="425">
        <f ca="1">IFERROR(__xludf.DUMMYFUNCTION("IMPORTRANGE(""https://docs.google.com/spreadsheets/d/1-uDff_7J0KD5mKrp0Vvzr7lt3OU09vwQwhkpOPPYv2Y/edit?usp=sharing"",""งบพรบ!AT26"")"),0)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IFERROR(__xludf.DUMMYFUNCTION("IMPORTRANGE(""https://docs.google.com/spreadsheets/d/1-uDff_7J0KD5mKrp0Vvzr7lt3OU09vwQwhkpOPPYv2Y/edit?usp=sharing"",""งบพรบ!AP26"")"),0)</f>
        <v>0</v>
      </c>
      <c r="M80" s="425">
        <f ca="1">IFERROR(__xludf.DUMMYFUNCTION("IMPORTRANGE(""https://docs.google.com/spreadsheets/d/1-uDff_7J0KD5mKrp0Vvzr7lt3OU09vwQwhkpOPPYv2Y/edit?usp=sharing"",""งบพรบ!AS26"")"),0)</f>
        <v>0</v>
      </c>
      <c r="N80" s="425">
        <f ca="1">IFERROR(__xludf.DUMMYFUNCTION("IMPORTRANGE(""https://docs.google.com/spreadsheets/d/1-uDff_7J0KD5mKrp0Vvzr7lt3OU09vwQwhkpOPPYv2Y/edit?usp=sharing"",""งบพรบ!AU26"")"),0)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IFERROR(__xludf.DUMMYFUNCTION("IMPORTRANGE(""https://docs.google.com/spreadsheets/d/1eHaY18a8A9IcSdp1K8H6x8fbOy06t2VsZHhMHf-1x7Y/edit?usp=sharing"",""แผน!H26"")"),0)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IFERROR(__xludf.DUMMYFUNCTION("IMPORTRANGE(""https://docs.google.com/spreadsheets/d/1eHaY18a8A9IcSdp1K8H6x8fbOy06t2VsZHhMHf-1x7Y/edit?usp=sharing"",""แผน!I26"")"),0)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IFERROR(__xludf.DUMMYFUNCTION("IMPORTRANGE(""https://docs.google.com/spreadsheets/d/1eHaY18a8A9IcSdp1K8H6x8fbOy06t2VsZHhMHf-1x7Y/edit?usp=sharing"",""แผน!F26"")"),0)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IFERROR(__xludf.DUMMYFUNCTION("IMPORTRANGE(""https://docs.google.com/spreadsheets/d/1eHaY18a8A9IcSdp1K8H6x8fbOy06t2VsZHhMHf-1x7Y/edit?usp=sharing"",""แผน!G26"")"),0)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IFERROR(__xludf.DUMMYFUNCTION("IMPORTRANGE(""https://docs.google.com/spreadsheets/d/1eHaY18a8A9IcSdp1K8H6x8fbOy06t2VsZHhMHf-1x7Y/edit?usp=sharing"",""แผน!D26"")"),0)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IFERROR(__xludf.DUMMYFUNCTION("IMPORTRANGE(""https://docs.google.com/spreadsheets/d/1eHaY18a8A9IcSdp1K8H6x8fbOy06t2VsZHhMHf-1x7Y/edit?usp=sharing"",""แผน!E26"")"),0)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IFERROR(__xludf.DUMMYFUNCTION("IMPORTRANGE(""https://docs.google.com/spreadsheets/d/1eHaY18a8A9IcSdp1K8H6x8fbOy06t2VsZHhMHf-1x7Y/edit?usp=sharing"",""แผน!J26"")"),0)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IFERROR(__xludf.DUMMYFUNCTION("IMPORTRANGE(""https://docs.google.com/spreadsheets/d/1-uDff_7J0KD5mKrp0Vvzr7lt3OU09vwQwhkpOPPYv2Y/edit?usp=sharing"",""งบพรบ!AW26"")"),0)</f>
        <v>0</v>
      </c>
      <c r="M99" s="425">
        <f ca="1">IFERROR(__xludf.DUMMYFUNCTION("IMPORTRANGE(""https://docs.google.com/spreadsheets/d/1-uDff_7J0KD5mKrp0Vvzr7lt3OU09vwQwhkpOPPYv2Y/edit?usp=sharing"",""งบพรบ!BB26"")"),0)</f>
        <v>0</v>
      </c>
      <c r="N99" s="425">
        <f ca="1">IFERROR(__xludf.DUMMYFUNCTION("IMPORTRANGE(""https://docs.google.com/spreadsheets/d/1-uDff_7J0KD5mKrp0Vvzr7lt3OU09vwQwhkpOPPYv2Y/edit?usp=sharing"",""งบพรบ!BD26"")"),0)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IFERROR(__xludf.DUMMYFUNCTION("IMPORTRANGE(""https://docs.google.com/spreadsheets/d/1-uDff_7J0KD5mKrp0Vvzr7lt3OU09vwQwhkpOPPYv2Y/edit?usp=sharing"",""งบพรบ!AZ26"")"),0)</f>
        <v>0</v>
      </c>
      <c r="M102" s="425">
        <f ca="1">IFERROR(__xludf.DUMMYFUNCTION("IMPORTRANGE(""https://docs.google.com/spreadsheets/d/1-uDff_7J0KD5mKrp0Vvzr7lt3OU09vwQwhkpOPPYv2Y/edit?usp=sharing"",""งบพรบ!BC26"")"),0)</f>
        <v>0</v>
      </c>
      <c r="N102" s="425">
        <f ca="1">IFERROR(__xludf.DUMMYFUNCTION("IMPORTRANGE(""https://docs.google.com/spreadsheets/d/1-uDff_7J0KD5mKrp0Vvzr7lt3OU09vwQwhkpOPPYv2Y/edit?usp=sharing"",""งบพรบ!BE26"")"),0)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IFERROR(__xludf.DUMMYFUNCTION("IMPORTRANGE(""https://docs.google.com/spreadsheets/d/1eHaY18a8A9IcSdp1K8H6x8fbOy06t2VsZHhMHf-1x7Y/edit?usp=sharing"",""แผน!N26"")"),0)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IFERROR(__xludf.DUMMYFUNCTION("IMPORTRANGE(""https://docs.google.com/spreadsheets/d/1eHaY18a8A9IcSdp1K8H6x8fbOy06t2VsZHhMHf-1x7Y/edit?usp=sharing"",""แผน!O26"")"),0)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IFERROR(__xludf.DUMMYFUNCTION("IMPORTRANGE(""https://docs.google.com/spreadsheets/d/1eHaY18a8A9IcSdp1K8H6x8fbOy06t2VsZHhMHf-1x7Y/edit?usp=sharing"",""แผน!R26"")"),0)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IFERROR(__xludf.DUMMYFUNCTION("IMPORTRANGE(""https://docs.google.com/spreadsheets/d/1-uDff_7J0KD5mKrp0Vvzr7lt3OU09vwQwhkpOPPYv2Y/edit?usp=sharing"",""งบพรบ!BG26"")"),0)</f>
        <v>0</v>
      </c>
      <c r="M130" s="723">
        <f ca="1">IFERROR(__xludf.DUMMYFUNCTION("IMPORTRANGE(""https://docs.google.com/spreadsheets/d/1-uDff_7J0KD5mKrp0Vvzr7lt3OU09vwQwhkpOPPYv2Y/edit?usp=sharing"",""งบพรบ!BL26"")"),0)</f>
        <v>0</v>
      </c>
      <c r="N130" s="723">
        <f ca="1">IFERROR(__xludf.DUMMYFUNCTION("IMPORTRANGE(""https://docs.google.com/spreadsheets/d/1-uDff_7J0KD5mKrp0Vvzr7lt3OU09vwQwhkpOPPYv2Y/edit?usp=sharing"",""งบพรบ!BN26"")"),0)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IFERROR(__xludf.DUMMYFUNCTION("IMPORTRANGE(""https://docs.google.com/spreadsheets/d/1-uDff_7J0KD5mKrp0Vvzr7lt3OU09vwQwhkpOPPYv2Y/edit?usp=sharing"",""งบพรบ!BJ26"")"),0)</f>
        <v>0</v>
      </c>
      <c r="M133" s="723">
        <f ca="1">IFERROR(__xludf.DUMMYFUNCTION("IMPORTRANGE(""https://docs.google.com/spreadsheets/d/1-uDff_7J0KD5mKrp0Vvzr7lt3OU09vwQwhkpOPPYv2Y/edit?usp=sharing"",""งบพรบ!BM26"")"),0)</f>
        <v>0</v>
      </c>
      <c r="N133" s="723">
        <f ca="1">IFERROR(__xludf.DUMMYFUNCTION("IMPORTRANGE(""https://docs.google.com/spreadsheets/d/1-uDff_7J0KD5mKrp0Vvzr7lt3OU09vwQwhkpOPPYv2Y/edit?usp=sharing"",""งบพรบ!BO26"")"),0)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3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40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4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164700</v>
      </c>
      <c r="M139" s="577">
        <f ca="1">M140+M141</f>
        <v>136600</v>
      </c>
      <c r="N139" s="577">
        <f ca="1">N140+N141</f>
        <v>40615</v>
      </c>
      <c r="O139" s="577">
        <f ca="1">IF(L139&gt;0,N139*100/L139,0)</f>
        <v>24.659987856709169</v>
      </c>
      <c r="P139" s="577">
        <f ca="1">IF(M139&gt;0,N139*100/M139,0)</f>
        <v>29.732796486090777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164700</v>
      </c>
      <c r="M141" s="425">
        <f ca="1">M144+M147</f>
        <v>136600</v>
      </c>
      <c r="N141" s="425">
        <f ca="1">N144+N147</f>
        <v>40615</v>
      </c>
      <c r="O141" s="425">
        <f ca="1">IF(L141&gt;0,N141*100/L141,0)</f>
        <v>24.659987856709169</v>
      </c>
      <c r="P141" s="425">
        <f ca="1">IF(M141&gt;0,N141*100/M141,0)</f>
        <v>29.732796486090777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164700</v>
      </c>
      <c r="M142" s="425">
        <f ca="1">M143+M144</f>
        <v>136600</v>
      </c>
      <c r="N142" s="425">
        <f ca="1">N143+N144</f>
        <v>40615</v>
      </c>
      <c r="O142" s="425">
        <f ca="1">IF(L142&gt;0,N142*100/L142,0)</f>
        <v>24.659987856709169</v>
      </c>
      <c r="P142" s="425">
        <f ca="1">IF(M142&gt;0,N142*100/M142,0)</f>
        <v>29.732796486090777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IFERROR(__xludf.DUMMYFUNCTION("IMPORTRANGE(""https://docs.google.com/spreadsheets/d/1-uDff_7J0KD5mKrp0Vvzr7lt3OU09vwQwhkpOPPYv2Y/edit?usp=sharing"",""งบพรบ!BQ26"")"),164700)</f>
        <v>164700</v>
      </c>
      <c r="M144" s="425">
        <f ca="1">IFERROR(__xludf.DUMMYFUNCTION("IMPORTRANGE(""https://docs.google.com/spreadsheets/d/1-uDff_7J0KD5mKrp0Vvzr7lt3OU09vwQwhkpOPPYv2Y/edit?usp=sharing"",""งบพรบ!BV26"")"),136600)</f>
        <v>136600</v>
      </c>
      <c r="N144" s="425">
        <f ca="1">IFERROR(__xludf.DUMMYFUNCTION("IMPORTRANGE(""https://docs.google.com/spreadsheets/d/1-uDff_7J0KD5mKrp0Vvzr7lt3OU09vwQwhkpOPPYv2Y/edit?usp=sharing"",""งบพรบ!BX26"")"),40615)</f>
        <v>40615</v>
      </c>
      <c r="O144" s="425">
        <f ca="1">IF(L144&gt;0,N144*100/L144,0)</f>
        <v>24.659987856709169</v>
      </c>
      <c r="P144" s="425">
        <f ca="1">IF(M144&gt;0,N144*100/M144,0)</f>
        <v>29.732796486090777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IFERROR(__xludf.DUMMYFUNCTION("IMPORTRANGE(""https://docs.google.com/spreadsheets/d/1-uDff_7J0KD5mKrp0Vvzr7lt3OU09vwQwhkpOPPYv2Y/edit?usp=sharing"",""งบพรบ!BT26"")"),0)</f>
        <v>0</v>
      </c>
      <c r="M147" s="425">
        <f ca="1">IFERROR(__xludf.DUMMYFUNCTION("IMPORTRANGE(""https://docs.google.com/spreadsheets/d/1-uDff_7J0KD5mKrp0Vvzr7lt3OU09vwQwhkpOPPYv2Y/edit?usp=sharing"",""งบพรบ!BW26"")"),0)</f>
        <v>0</v>
      </c>
      <c r="N147" s="425">
        <f ca="1">IFERROR(__xludf.DUMMYFUNCTION("IMPORTRANGE(""https://docs.google.com/spreadsheets/d/1-uDff_7J0KD5mKrp0Vvzr7lt3OU09vwQwhkpOPPYv2Y/edit?usp=sharing"",""งบพรบ!BY26"")"),0)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IFERROR(__xludf.DUMMYFUNCTION("IMPORTRANGE(""https://docs.google.com/spreadsheets/d/1eHaY18a8A9IcSdp1K8H6x8fbOy06t2VsZHhMHf-1x7Y/edit?usp=sharing"",""แผน!U26"")"),30)</f>
        <v>30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IFERROR(__xludf.DUMMYFUNCTION("IMPORTRANGE(""https://docs.google.com/spreadsheets/d/1eHaY18a8A9IcSdp1K8H6x8fbOy06t2VsZHhMHf-1x7Y/edit?usp=sharing"",""แผน!V26"")"),3)</f>
        <v>3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IFERROR(__xludf.DUMMYFUNCTION("IMPORTRANGE(""https://docs.google.com/spreadsheets/d/1eHaY18a8A9IcSdp1K8H6x8fbOy06t2VsZHhMHf-1x7Y/edit?usp=sharing"",""แผน!W26"")"),40)</f>
        <v>40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IFERROR(__xludf.DUMMYFUNCTION("IMPORTRANGE(""https://docs.google.com/spreadsheets/d/1eHaY18a8A9IcSdp1K8H6x8fbOy06t2VsZHhMHf-1x7Y/edit?usp=sharing"",""แผน!X26"")"),4)</f>
        <v>4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IFERROR(__xludf.DUMMYFUNCTION("IMPORTRANGE(""https://docs.google.com/spreadsheets/d/1eHaY18a8A9IcSdp1K8H6x8fbOy06t2VsZHhMHf-1x7Y/edit?usp=sharing"",""แผน!Y26"")"),3)</f>
        <v>3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IFERROR(__xludf.DUMMYFUNCTION("IMPORTRANGE(""https://docs.google.com/spreadsheets/d/1-uDff_7J0KD5mKrp0Vvzr7lt3OU09vwQwhkpOPPYv2Y/edit?usp=sharing"",""งบพรบ!CA26"")"),0)</f>
        <v>0</v>
      </c>
      <c r="M162" s="425">
        <f ca="1">IFERROR(__xludf.DUMMYFUNCTION("IMPORTRANGE(""https://docs.google.com/spreadsheets/d/1-uDff_7J0KD5mKrp0Vvzr7lt3OU09vwQwhkpOPPYv2Y/edit?usp=sharing"",""งบพรบ!CF26"")"),0)</f>
        <v>0</v>
      </c>
      <c r="N162" s="425">
        <f ca="1">IFERROR(__xludf.DUMMYFUNCTION("IMPORTRANGE(""https://docs.google.com/spreadsheets/d/1-uDff_7J0KD5mKrp0Vvzr7lt3OU09vwQwhkpOPPYv2Y/edit?usp=sharing"",""งบพรบ!CH26"")"),0)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IFERROR(__xludf.DUMMYFUNCTION("IMPORTRANGE(""https://docs.google.com/spreadsheets/d/1-uDff_7J0KD5mKrp0Vvzr7lt3OU09vwQwhkpOPPYv2Y/edit?usp=sharing"",""งบพรบ!CD26"")"),0)</f>
        <v>0</v>
      </c>
      <c r="M165" s="425">
        <f ca="1">IFERROR(__xludf.DUMMYFUNCTION("IMPORTRANGE(""https://docs.google.com/spreadsheets/d/1-uDff_7J0KD5mKrp0Vvzr7lt3OU09vwQwhkpOPPYv2Y/edit?usp=sharing"",""งบพรบ!CG26"")"),0)</f>
        <v>0</v>
      </c>
      <c r="N165" s="425">
        <f ca="1">IFERROR(__xludf.DUMMYFUNCTION("IMPORTRANGE(""https://docs.google.com/spreadsheets/d/1-uDff_7J0KD5mKrp0Vvzr7lt3OU09vwQwhkpOPPYv2Y/edit?usp=sharing"",""งบพรบ!CI26"")"),0)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IFERROR(__xludf.DUMMYFUNCTION("IMPORTRANGE(""https://docs.google.com/spreadsheets/d/1eHaY18a8A9IcSdp1K8H6x8fbOy06t2VsZHhMHf-1x7Y/edit?usp=sharing"",""แผน!Z26"")"),0)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IFERROR(__xludf.DUMMYFUNCTION("IMPORTRANGE(""https://docs.google.com/spreadsheets/d/1eHaY18a8A9IcSdp1K8H6x8fbOy06t2VsZHhMHf-1x7Y/edit?usp=sharing"",""แผน!Z26"")"),0)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IFERROR(__xludf.DUMMYFUNCTION("IMPORTRANGE(""https://docs.google.com/spreadsheets/d/1eHaY18a8A9IcSdp1K8H6x8fbOy06t2VsZHhMHf-1x7Y/edit?usp=sharing"",""แผน!Z26"")"),0)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126810</v>
      </c>
      <c r="N173" s="577">
        <f ca="1">N174+N175</f>
        <v>55520</v>
      </c>
      <c r="O173" s="577">
        <f ca="1">IF(L173&gt;0,N173*100/L173,0)</f>
        <v>283.40990301174071</v>
      </c>
      <c r="P173" s="577">
        <f ca="1">IF(M173&gt;0,N173*100/M173,0)</f>
        <v>43.78203611702547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126810</v>
      </c>
      <c r="N175" s="425">
        <f ca="1">N178+N181</f>
        <v>55520</v>
      </c>
      <c r="O175" s="425">
        <f ca="1">IF(L175&gt;0,N175*100/L175,0)</f>
        <v>283.40990301174071</v>
      </c>
      <c r="P175" s="425">
        <f ca="1">IF(M175&gt;0,N175*100/M175,0)</f>
        <v>43.78203611702547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126810</v>
      </c>
      <c r="N176" s="425">
        <f ca="1">N177+N178</f>
        <v>55520</v>
      </c>
      <c r="O176" s="425">
        <f ca="1">IF(L176&gt;0,N176*100/L176,0)</f>
        <v>283.40990301174071</v>
      </c>
      <c r="P176" s="425">
        <f ca="1">IF(M176&gt;0,N176*100/M176,0)</f>
        <v>43.78203611702547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IFERROR(__xludf.DUMMYFUNCTION("IMPORTRANGE(""https://docs.google.com/spreadsheets/d/1-uDff_7J0KD5mKrp0Vvzr7lt3OU09vwQwhkpOPPYv2Y/edit?usp=sharing"",""งบพรบ!CK26"")"),19590)</f>
        <v>19590</v>
      </c>
      <c r="M178" s="425">
        <f ca="1">IFERROR(__xludf.DUMMYFUNCTION("IMPORTRANGE(""https://docs.google.com/spreadsheets/d/1-uDff_7J0KD5mKrp0Vvzr7lt3OU09vwQwhkpOPPYv2Y/edit?usp=sharing"",""งบพรบ!CP26"")"),126810)</f>
        <v>126810</v>
      </c>
      <c r="N178" s="425">
        <f ca="1">IFERROR(__xludf.DUMMYFUNCTION("IMPORTRANGE(""https://docs.google.com/spreadsheets/d/1-uDff_7J0KD5mKrp0Vvzr7lt3OU09vwQwhkpOPPYv2Y/edit?usp=sharing"",""งบพรบ!CR26"")"),55520)</f>
        <v>55520</v>
      </c>
      <c r="O178" s="425">
        <f ca="1">IF(L178&gt;0,N178*100/L178,0)</f>
        <v>283.40990301174071</v>
      </c>
      <c r="P178" s="425">
        <f ca="1">IF(M178&gt;0,N178*100/M178,0)</f>
        <v>43.78203611702547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IFERROR(__xludf.DUMMYFUNCTION("IMPORTRANGE(""https://docs.google.com/spreadsheets/d/1-uDff_7J0KD5mKrp0Vvzr7lt3OU09vwQwhkpOPPYv2Y/edit?usp=sharing"",""งบพรบ!CN26"")"),0)</f>
        <v>0</v>
      </c>
      <c r="M181" s="425">
        <f ca="1">IFERROR(__xludf.DUMMYFUNCTION("IMPORTRANGE(""https://docs.google.com/spreadsheets/d/1-uDff_7J0KD5mKrp0Vvzr7lt3OU09vwQwhkpOPPYv2Y/edit?usp=sharing"",""งบพรบ!CQ26"")"),0)</f>
        <v>0</v>
      </c>
      <c r="N181" s="425">
        <f ca="1">IFERROR(__xludf.DUMMYFUNCTION("IMPORTRANGE(""https://docs.google.com/spreadsheets/d/1-uDff_7J0KD5mKrp0Vvzr7lt3OU09vwQwhkpOPPYv2Y/edit?usp=sharing"",""งบพรบ!CS26"")"),0)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IFERROR(__xludf.DUMMYFUNCTION("IMPORTRANGE(""https://docs.google.com/spreadsheets/d/1eHaY18a8A9IcSdp1K8H6x8fbOy06t2VsZHhMHf-1x7Y/edit?usp=sharing"",""แผน!AA26"")"),7)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121500</v>
      </c>
      <c r="M186" s="577">
        <f ca="1">M187+M188</f>
        <v>78500</v>
      </c>
      <c r="N186" s="577">
        <f ca="1">N187+N188</f>
        <v>25566.67</v>
      </c>
      <c r="O186" s="577">
        <f ca="1">IF(L186&gt;0,N186*100/L186,0)</f>
        <v>21.042526748971195</v>
      </c>
      <c r="P186" s="577">
        <f ca="1">IF(M186&gt;0,N186*100/M186,0)</f>
        <v>32.569006369426752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121500</v>
      </c>
      <c r="M188" s="425">
        <f ca="1">M191+M194</f>
        <v>78500</v>
      </c>
      <c r="N188" s="425">
        <f ca="1">N191+N194</f>
        <v>25566.67</v>
      </c>
      <c r="O188" s="425">
        <f ca="1">IF(L188&gt;0,N188*100/L188,0)</f>
        <v>21.042526748971195</v>
      </c>
      <c r="P188" s="425">
        <f ca="1">IF(M188&gt;0,N188*100/M188,0)</f>
        <v>32.569006369426752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121500</v>
      </c>
      <c r="M189" s="425">
        <f ca="1">M190+M191</f>
        <v>78500</v>
      </c>
      <c r="N189" s="425">
        <f ca="1">N190+N191</f>
        <v>25566.67</v>
      </c>
      <c r="O189" s="425">
        <f ca="1">IF(L189&gt;0,N189*100/L189,0)</f>
        <v>21.042526748971195</v>
      </c>
      <c r="P189" s="425">
        <f ca="1">IF(M189&gt;0,N189*100/M189,0)</f>
        <v>32.569006369426752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IFERROR(__xludf.DUMMYFUNCTION("IMPORTRANGE(""https://docs.google.com/spreadsheets/d/1-uDff_7J0KD5mKrp0Vvzr7lt3OU09vwQwhkpOPPYv2Y/edit?usp=sharing"",""งบพรบ!CU26"")"),121500)</f>
        <v>121500</v>
      </c>
      <c r="M191" s="425">
        <f ca="1">IFERROR(__xludf.DUMMYFUNCTION("IMPORTRANGE(""https://docs.google.com/spreadsheets/d/1-uDff_7J0KD5mKrp0Vvzr7lt3OU09vwQwhkpOPPYv2Y/edit?usp=sharing"",""งบพรบ!CZ26"")"),78500)</f>
        <v>78500</v>
      </c>
      <c r="N191" s="425">
        <f ca="1">IFERROR(__xludf.DUMMYFUNCTION("IMPORTRANGE(""https://docs.google.com/spreadsheets/d/1-uDff_7J0KD5mKrp0Vvzr7lt3OU09vwQwhkpOPPYv2Y/edit?usp=sharing"",""งบพรบ!DB26"")"),25566.67)</f>
        <v>25566.67</v>
      </c>
      <c r="O191" s="425">
        <f ca="1">IF(L191&gt;0,N191*100/L191,0)</f>
        <v>21.042526748971195</v>
      </c>
      <c r="P191" s="425">
        <f ca="1">IF(M191&gt;0,N191*100/M191,0)</f>
        <v>32.569006369426752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IFERROR(__xludf.DUMMYFUNCTION("IMPORTRANGE(""https://docs.google.com/spreadsheets/d/1-uDff_7J0KD5mKrp0Vvzr7lt3OU09vwQwhkpOPPYv2Y/edit?usp=sharing"",""งบพรบ!CX26"")"),0)</f>
        <v>0</v>
      </c>
      <c r="M194" s="425">
        <f ca="1">IFERROR(__xludf.DUMMYFUNCTION("IMPORTRANGE(""https://docs.google.com/spreadsheets/d/1-uDff_7J0KD5mKrp0Vvzr7lt3OU09vwQwhkpOPPYv2Y/edit?usp=sharing"",""งบพรบ!DA26"")"),0)</f>
        <v>0</v>
      </c>
      <c r="N194" s="425">
        <f ca="1">IFERROR(__xludf.DUMMYFUNCTION("IMPORTRANGE(""https://docs.google.com/spreadsheets/d/1-uDff_7J0KD5mKrp0Vvzr7lt3OU09vwQwhkpOPPYv2Y/edit?usp=sharing"",""งบพรบ!DC26"")"),0)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IFERROR(__xludf.DUMMYFUNCTION("IMPORTRANGE(""https://docs.google.com/spreadsheets/d/1eHaY18a8A9IcSdp1K8H6x8fbOy06t2VsZHhMHf-1x7Y/edit?usp=sharing"",""แผน!AB26"")"),6000)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IFERROR(__xludf.DUMMYFUNCTION("IMPORTRANGE(""https://docs.google.com/spreadsheets/d/1eHaY18a8A9IcSdp1K8H6x8fbOy06t2VsZHhMHf-1x7Y/edit?usp=sharing"",""แผน!AE26"")"),4)</f>
        <v>4</v>
      </c>
      <c r="J198" s="595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29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29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1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16000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IFERROR(__xludf.DUMMYFUNCTION("IMPORTRANGE(""https://docs.google.com/spreadsheets/d/1eHaY18a8A9IcSdp1K8H6x8fbOy06t2VsZHhMHf-1x7Y/edit?usp=sharing"",""แผน!AG26"")"),1000)</f>
        <v>1000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IFERROR(__xludf.DUMMYFUNCTION("IMPORTRANGE(""https://docs.google.com/spreadsheets/d/1eHaY18a8A9IcSdp1K8H6x8fbOy06t2VsZHhMHf-1x7Y/edit?usp=sharing"",""แผน!AH26"")"),0)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IFERROR(__xludf.DUMMYFUNCTION("IMPORTRANGE(""https://docs.google.com/spreadsheets/d/1eHaY18a8A9IcSdp1K8H6x8fbOy06t2VsZHhMHf-1x7Y/edit?usp=sharing"",""แผน!AI26"")"),8000)</f>
        <v>8000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IFERROR(__xludf.DUMMYFUNCTION("IMPORTRANGE(""https://docs.google.com/spreadsheets/d/1eHaY18a8A9IcSdp1K8H6x8fbOy06t2VsZHhMHf-1x7Y/edit?usp=sharing"",""แผน!AJ26"")"),7000)</f>
        <v>7000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IFERROR(__xludf.DUMMYFUNCTION("IMPORTRANGE(""https://docs.google.com/spreadsheets/d/1eHaY18a8A9IcSdp1K8H6x8fbOy06t2VsZHhMHf-1x7Y/edit?usp=sharing"",""แผน!AK26"")"),1)</f>
        <v>1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IFERROR(__xludf.DUMMYFUNCTION("IMPORTRANGE(""https://docs.google.com/spreadsheets/d/1eHaY18a8A9IcSdp1K8H6x8fbOy06t2VsZHhMHf-1x7Y/edit?usp=sharing"",""แผน!JX26"")"),1)</f>
        <v>1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IFERROR(__xludf.DUMMYFUNCTION("IMPORTRANGE(""https://docs.google.com/spreadsheets/d/1eHaY18a8A9IcSdp1K8H6x8fbOy06t2VsZHhMHf-1x7Y/edit?usp=sharing"",""แผน!JY26"")"),1)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IFERROR(__xludf.DUMMYFUNCTION("IMPORTRANGE(""https://docs.google.com/spreadsheets/d/1eHaY18a8A9IcSdp1K8H6x8fbOy06t2VsZHhMHf-1x7Y/edit?usp=sharing"",""แผน!AM26"")"),0)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IFERROR(__xludf.DUMMYFUNCTION("IMPORTRANGE(""https://docs.google.com/spreadsheets/d/1eHaY18a8A9IcSdp1K8H6x8fbOy06t2VsZHhMHf-1x7Y/edit?usp=sharing"",""แผน!AN26"")"),0)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IFERROR(__xludf.DUMMYFUNCTION("IMPORTRANGE(""https://docs.google.com/spreadsheets/d/1eHaY18a8A9IcSdp1K8H6x8fbOy06t2VsZHhMHf-1x7Y/edit?usp=sharing"",""แผน!AO26"")"),0)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IFERROR(__xludf.DUMMYFUNCTION("IMPORTRANGE(""https://docs.google.com/spreadsheets/d/1eHaY18a8A9IcSdp1K8H6x8fbOy06t2VsZHhMHf-1x7Y/edit?usp=sharing"",""แผน!AP26"")"),0)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IFERROR(__xludf.DUMMYFUNCTION("IMPORTRANGE(""https://docs.google.com/spreadsheets/d/1eHaY18a8A9IcSdp1K8H6x8fbOy06t2VsZHhMHf-1x7Y/edit?usp=sharing"",""แผน!AP26"")"),0)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8500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IFERROR(__xludf.DUMMYFUNCTION("IMPORTRANGE(""https://docs.google.com/spreadsheets/d/1eHaY18a8A9IcSdp1K8H6x8fbOy06t2VsZHhMHf-1x7Y/edit?usp=sharing"",""แผน!AR26"")"),7000)</f>
        <v>7000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IFERROR(__xludf.DUMMYFUNCTION("IMPORTRANGE(""https://docs.google.com/spreadsheets/d/1eHaY18a8A9IcSdp1K8H6x8fbOy06t2VsZHhMHf-1x7Y/edit?usp=sharing"",""แผน!AS26"")"),1500)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IFERROR(__xludf.DUMMYFUNCTION("IMPORTRANGE(""https://docs.google.com/spreadsheets/d/1eHaY18a8A9IcSdp1K8H6x8fbOy06t2VsZHhMHf-1x7Y/edit?usp=sharing"",""แผน!AT26"")"),0)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IFERROR(__xludf.DUMMYFUNCTION("IMPORTRANGE(""https://docs.google.com/spreadsheets/d/1eHaY18a8A9IcSdp1K8H6x8fbOy06t2VsZHhMHf-1x7Y/edit?usp=sharing"",""แผน!AV26"")"),50000)</f>
        <v>50000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IFERROR(__xludf.DUMMYFUNCTION("IMPORTRANGE(""https://docs.google.com/spreadsheets/d/1eHaY18a8A9IcSdp1K8H6x8fbOy06t2VsZHhMHf-1x7Y/edit?usp=sharing"",""แผน!AV26"")"),50000)</f>
        <v>50000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IFERROR(__xludf.DUMMYFUNCTION("IMPORTRANGE(""https://docs.google.com/spreadsheets/d/1eHaY18a8A9IcSdp1K8H6x8fbOy06t2VsZHhMHf-1x7Y/edit?usp=sharing"",""แผน!AU26"")"),0)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IFERROR(__xludf.DUMMYFUNCTION("IMPORTRANGE(""https://docs.google.com/spreadsheets/d/1eHaY18a8A9IcSdp1K8H6x8fbOy06t2VsZHhMHf-1x7Y/edit?usp=sharing"",""แผน!AX26"")"),0)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IFERROR(__xludf.DUMMYFUNCTION("IMPORTRANGE(""https://docs.google.com/spreadsheets/d/1eHaY18a8A9IcSdp1K8H6x8fbOy06t2VsZHhMHf-1x7Y/edit?usp=sharing"",""แผน!AY26"")"),0)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IFERROR(__xludf.DUMMYFUNCTION("IMPORTRANGE(""https://docs.google.com/spreadsheets/d/1eHaY18a8A9IcSdp1K8H6x8fbOy06t2VsZHhMHf-1x7Y/edit?usp=sharing"",""แผน!AZ26"")"),0)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IFERROR(__xludf.DUMMYFUNCTION("IMPORTRANGE(""https://docs.google.com/spreadsheets/d/1eHaY18a8A9IcSdp1K8H6x8fbOy06t2VsZHhMHf-1x7Y/edit?usp=sharing"",""แผน!BA26"")"),0)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IFERROR(__xludf.DUMMYFUNCTION("IMPORTRANGE(""https://docs.google.com/spreadsheets/d/1eHaY18a8A9IcSdp1K8H6x8fbOy06t2VsZHhMHf-1x7Y/edit?usp=sharing"",""แผน!BG26"")"),0)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IFERROR(__xludf.DUMMYFUNCTION("IMPORTRANGE(""https://docs.google.com/spreadsheets/d/1eHaY18a8A9IcSdp1K8H6x8fbOy06t2VsZHhMHf-1x7Y/edit?usp=sharing"",""แผน!BB26"")"),0)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IFERROR(__xludf.DUMMYFUNCTION("IMPORTRANGE(""https://docs.google.com/spreadsheets/d/1eHaY18a8A9IcSdp1K8H6x8fbOy06t2VsZHhMHf-1x7Y/edit?usp=sharing"",""แผน!BC26"")"),0)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IFERROR(__xludf.DUMMYFUNCTION("IMPORTRANGE(""https://docs.google.com/spreadsheets/d/1eHaY18a8A9IcSdp1K8H6x8fbOy06t2VsZHhMHf-1x7Y/edit?usp=sharing"",""แผน!BD26"")"),0)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IFERROR(__xludf.DUMMYFUNCTION("IMPORTRANGE(""https://docs.google.com/spreadsheets/d/1eHaY18a8A9IcSdp1K8H6x8fbOy06t2VsZHhMHf-1x7Y/edit?usp=sharing"",""แผน!BE26"")"),0)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IFERROR(__xludf.DUMMYFUNCTION("IMPORTRANGE(""https://docs.google.com/spreadsheets/d/1eHaY18a8A9IcSdp1K8H6x8fbOy06t2VsZHhMHf-1x7Y/edit?usp=sharing"",""แผน!BH26"")"),0)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IFERROR(__xludf.DUMMYFUNCTION("IMPORTRANGE(""https://docs.google.com/spreadsheets/d/1-uDff_7J0KD5mKrp0Vvzr7lt3OU09vwQwhkpOPPYv2Y/edit?usp=sharing"",""งบพรบ!DE26"")"),0)</f>
        <v>0</v>
      </c>
      <c r="M271" s="521">
        <f ca="1">IFERROR(__xludf.DUMMYFUNCTION("IMPORTRANGE(""https://docs.google.com/spreadsheets/d/1-uDff_7J0KD5mKrp0Vvzr7lt3OU09vwQwhkpOPPYv2Y/edit?usp=sharing"",""งบพรบ!DJ26"")"),0)</f>
        <v>0</v>
      </c>
      <c r="N271" s="521">
        <f ca="1">IFERROR(__xludf.DUMMYFUNCTION("IMPORTRANGE(""https://docs.google.com/spreadsheets/d/1-uDff_7J0KD5mKrp0Vvzr7lt3OU09vwQwhkpOPPYv2Y/edit?usp=sharing"",""งบพรบ!DL26"")"),0)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IFERROR(__xludf.DUMMYFUNCTION("IMPORTRANGE(""https://docs.google.com/spreadsheets/d/1-uDff_7J0KD5mKrp0Vvzr7lt3OU09vwQwhkpOPPYv2Y/edit?usp=sharing"",""งบพรบ!DH26"")"),0)</f>
        <v>0</v>
      </c>
      <c r="M274" s="521">
        <f ca="1">IFERROR(__xludf.DUMMYFUNCTION("IMPORTRANGE(""https://docs.google.com/spreadsheets/d/1-uDff_7J0KD5mKrp0Vvzr7lt3OU09vwQwhkpOPPYv2Y/edit?usp=sharing"",""งบพรบ!DK26"")"),0)</f>
        <v>0</v>
      </c>
      <c r="N274" s="521">
        <f ca="1">IFERROR(__xludf.DUMMYFUNCTION("IMPORTRANGE(""https://docs.google.com/spreadsheets/d/1-uDff_7J0KD5mKrp0Vvzr7lt3OU09vwQwhkpOPPYv2Y/edit?usp=sharing"",""งบพรบ!DM26"")"),0)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30</v>
      </c>
      <c r="J280" s="629">
        <f>J293</f>
        <v>30</v>
      </c>
      <c r="K280" s="628">
        <f ca="1">IF(I280&gt;0,J280*100/I280,0)</f>
        <v>100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300</v>
      </c>
      <c r="J281" s="629">
        <f>J292</f>
        <v>300</v>
      </c>
      <c r="K281" s="628">
        <f ca="1">IF(I281&gt;0,J281*100/I281,0)</f>
        <v>100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85120</v>
      </c>
      <c r="M282" s="577">
        <f ca="1">M283+M284</f>
        <v>73480</v>
      </c>
      <c r="N282" s="577">
        <f ca="1">N283+N284</f>
        <v>62480</v>
      </c>
      <c r="O282" s="577">
        <f ca="1">IF(L282&gt;0,N282*100/L282,0)</f>
        <v>73.402255639097746</v>
      </c>
      <c r="P282" s="577">
        <f ca="1">IF(M282&gt;0,N282*100/M282,0)</f>
        <v>85.029940119760482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85120</v>
      </c>
      <c r="M284" s="425">
        <f ca="1">M287+M290</f>
        <v>73480</v>
      </c>
      <c r="N284" s="425">
        <f ca="1">N287+N290</f>
        <v>62480</v>
      </c>
      <c r="O284" s="425">
        <f ca="1">IF(L284&gt;0,N284*100/L284,0)</f>
        <v>73.402255639097746</v>
      </c>
      <c r="P284" s="425">
        <f ca="1">IF(M284&gt;0,N284*100/M284,0)</f>
        <v>85.029940119760482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85120</v>
      </c>
      <c r="M285" s="425">
        <f ca="1">M286+M287</f>
        <v>73480</v>
      </c>
      <c r="N285" s="425">
        <f ca="1">N286+N287</f>
        <v>62480</v>
      </c>
      <c r="O285" s="425">
        <f ca="1">IF(L285&gt;0,N285*100/L285,0)</f>
        <v>73.402255639097746</v>
      </c>
      <c r="P285" s="425">
        <f ca="1">IF(M285&gt;0,N285*100/M285,0)</f>
        <v>85.029940119760482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IFERROR(__xludf.DUMMYFUNCTION("IMPORTRANGE(""https://docs.google.com/spreadsheets/d/1-uDff_7J0KD5mKrp0Vvzr7lt3OU09vwQwhkpOPPYv2Y/edit?usp=sharing"",""งบพรบ!DO26"")"),85120)</f>
        <v>85120</v>
      </c>
      <c r="M287" s="425">
        <f ca="1">IFERROR(__xludf.DUMMYFUNCTION("IMPORTRANGE(""https://docs.google.com/spreadsheets/d/1-uDff_7J0KD5mKrp0Vvzr7lt3OU09vwQwhkpOPPYv2Y/edit?usp=sharing"",""งบพรบ!DT26"")"),73480)</f>
        <v>73480</v>
      </c>
      <c r="N287" s="425">
        <f ca="1">IFERROR(__xludf.DUMMYFUNCTION("IMPORTRANGE(""https://docs.google.com/spreadsheets/d/1-uDff_7J0KD5mKrp0Vvzr7lt3OU09vwQwhkpOPPYv2Y/edit?usp=sharing"",""งบพรบ!DV26"")"),62480)</f>
        <v>62480</v>
      </c>
      <c r="O287" s="425">
        <f ca="1">IF(L287&gt;0,N287*100/L287,0)</f>
        <v>73.402255639097746</v>
      </c>
      <c r="P287" s="425">
        <f ca="1">IF(M287&gt;0,N287*100/M287,0)</f>
        <v>85.029940119760482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IFERROR(__xludf.DUMMYFUNCTION("IMPORTRANGE(""https://docs.google.com/spreadsheets/d/1-uDff_7J0KD5mKrp0Vvzr7lt3OU09vwQwhkpOPPYv2Y/edit?usp=sharing"",""งบพรบ!DR26"")"),0)</f>
        <v>0</v>
      </c>
      <c r="M290" s="425">
        <f ca="1">IFERROR(__xludf.DUMMYFUNCTION("IMPORTRANGE(""https://docs.google.com/spreadsheets/d/1-uDff_7J0KD5mKrp0Vvzr7lt3OU09vwQwhkpOPPYv2Y/edit?usp=sharing"",""งบพรบ!DU26"")"),0)</f>
        <v>0</v>
      </c>
      <c r="N290" s="425">
        <f ca="1">IFERROR(__xludf.DUMMYFUNCTION("IMPORTRANGE(""https://docs.google.com/spreadsheets/d/1-uDff_7J0KD5mKrp0Vvzr7lt3OU09vwQwhkpOPPYv2Y/edit?usp=sharing"",""งบพรบ!DW26"")"),0)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IFERROR(__xludf.DUMMYFUNCTION("IMPORTRANGE(""https://docs.google.com/spreadsheets/d/1eHaY18a8A9IcSdp1K8H6x8fbOy06t2VsZHhMHf-1x7Y/edit?usp=sharing"",""แผน!EE26"")"),300)</f>
        <v>300</v>
      </c>
      <c r="J292" s="595">
        <v>300</v>
      </c>
      <c r="K292" s="621">
        <f ca="1">IF(I292&gt;0,J292*100/I292,0)</f>
        <v>100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IFERROR(__xludf.DUMMYFUNCTION("IMPORTRANGE(""https://docs.google.com/spreadsheets/d/1eHaY18a8A9IcSdp1K8H6x8fbOy06t2VsZHhMHf-1x7Y/edit?usp=sharing"",""แผน!ED26"")"),30)</f>
        <v>30</v>
      </c>
      <c r="J293" s="625">
        <f>J296</f>
        <v>30</v>
      </c>
      <c r="K293" s="624">
        <f ca="1">IF(I293&gt;0,J293*100/I293,0)</f>
        <v>100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IFERROR(__xludf.DUMMYFUNCTION("IMPORTRANGE(""https://docs.google.com/spreadsheets/d/1eHaY18a8A9IcSdp1K8H6x8fbOy06t2VsZHhMHf-1x7Y/edit?usp=sharing"",""แผน!ED26"")"),30)</f>
        <v>30</v>
      </c>
      <c r="J295" s="595">
        <v>30</v>
      </c>
      <c r="K295" s="621">
        <f ca="1">IF(I295&gt;0,J295*100/I295,0)</f>
        <v>100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IFERROR(__xludf.DUMMYFUNCTION("IMPORTRANGE(""https://docs.google.com/spreadsheets/d/1eHaY18a8A9IcSdp1K8H6x8fbOy06t2VsZHhMHf-1x7Y/edit?usp=sharing"",""แผน!ED26"")"),30)</f>
        <v>30</v>
      </c>
      <c r="J296" s="595">
        <v>30</v>
      </c>
      <c r="K296" s="621">
        <f ca="1">IF(I296&gt;0,J296*100/I296,0)</f>
        <v>100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IFERROR(__xludf.DUMMYFUNCTION("IMPORTRANGE(""https://docs.google.com/spreadsheets/d/1-uDff_7J0KD5mKrp0Vvzr7lt3OU09vwQwhkpOPPYv2Y/edit?usp=sharing"",""งบพรบ!DY26"")"),0)</f>
        <v>0</v>
      </c>
      <c r="M308" s="425">
        <f ca="1">IFERROR(__xludf.DUMMYFUNCTION("IMPORTRANGE(""https://docs.google.com/spreadsheets/d/1-uDff_7J0KD5mKrp0Vvzr7lt3OU09vwQwhkpOPPYv2Y/edit?usp=sharing"",""งบพรบ!ED26"")"),0)</f>
        <v>0</v>
      </c>
      <c r="N308" s="425">
        <f ca="1">IFERROR(__xludf.DUMMYFUNCTION("IMPORTRANGE(""https://docs.google.com/spreadsheets/d/1-uDff_7J0KD5mKrp0Vvzr7lt3OU09vwQwhkpOPPYv2Y/edit?usp=sharing"",""งบพรบ!EF26"")"),0)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IFERROR(__xludf.DUMMYFUNCTION("IMPORTRANGE(""https://docs.google.com/spreadsheets/d/1-uDff_7J0KD5mKrp0Vvzr7lt3OU09vwQwhkpOPPYv2Y/edit?usp=sharing"",""งบพรบ!EB26"")"),0)</f>
        <v>0</v>
      </c>
      <c r="M311" s="425">
        <f ca="1">IFERROR(__xludf.DUMMYFUNCTION("IMPORTRANGE(""https://docs.google.com/spreadsheets/d/1-uDff_7J0KD5mKrp0Vvzr7lt3OU09vwQwhkpOPPYv2Y/edit?usp=sharing"",""งบพรบ!EE26"")"),0)</f>
        <v>0</v>
      </c>
      <c r="N311" s="425">
        <f ca="1">IFERROR(__xludf.DUMMYFUNCTION("IMPORTRANGE(""https://docs.google.com/spreadsheets/d/1-uDff_7J0KD5mKrp0Vvzr7lt3OU09vwQwhkpOPPYv2Y/edit?usp=sharing"",""งบพรบ!EG26"")"),0)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IFERROR(__xludf.DUMMYFUNCTION("IMPORTRANGE(""https://docs.google.com/spreadsheets/d/1eHaY18a8A9IcSdp1K8H6x8fbOy06t2VsZHhMHf-1x7Y/edit?usp=sharing"",""แผน!EF26"")"),0)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IFERROR(__xludf.DUMMYFUNCTION("IMPORTRANGE(""https://docs.google.com/spreadsheets/d/1eHaY18a8A9IcSdp1K8H6x8fbOy06t2VsZHhMHf-1x7Y/edit?usp=sharing"",""แผน!EG26"")"),0)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IFERROR(__xludf.DUMMYFUNCTION("IMPORTRANGE(""https://docs.google.com/spreadsheets/d/1eHaY18a8A9IcSdp1K8H6x8fbOy06t2VsZHhMHf-1x7Y/edit?usp=sharing"",""แผน!EH26"")"),0)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IFERROR(__xludf.DUMMYFUNCTION("IMPORTRANGE(""https://docs.google.com/spreadsheets/d/1eHaY18a8A9IcSdp1K8H6x8fbOy06t2VsZHhMHf-1x7Y/edit?usp=sharing"",""แผน!EI26"")"),0)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IFERROR(__xludf.DUMMYFUNCTION("IMPORTRANGE(""https://docs.google.com/spreadsheets/d/1-uDff_7J0KD5mKrp0Vvzr7lt3OU09vwQwhkpOPPYv2Y/edit?usp=sharing"",""งบพรบ!EI26"")"),0)</f>
        <v>0</v>
      </c>
      <c r="M325" s="425">
        <f ca="1">IFERROR(__xludf.DUMMYFUNCTION("IMPORTRANGE(""https://docs.google.com/spreadsheets/d/1-uDff_7J0KD5mKrp0Vvzr7lt3OU09vwQwhkpOPPYv2Y/edit?usp=sharing"",""งบพรบ!EN26"")"),0)</f>
        <v>0</v>
      </c>
      <c r="N325" s="425">
        <f ca="1">IFERROR(__xludf.DUMMYFUNCTION("IMPORTRANGE(""https://docs.google.com/spreadsheets/d/1-uDff_7J0KD5mKrp0Vvzr7lt3OU09vwQwhkpOPPYv2Y/edit?usp=sharing"",""งบพรบ!EP26"")"),0)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IFERROR(__xludf.DUMMYFUNCTION("IMPORTRANGE(""https://docs.google.com/spreadsheets/d/1-uDff_7J0KD5mKrp0Vvzr7lt3OU09vwQwhkpOPPYv2Y/edit?usp=sharing"",""งบพรบ!EL26"")"),0)</f>
        <v>0</v>
      </c>
      <c r="M328" s="425">
        <f ca="1">IFERROR(__xludf.DUMMYFUNCTION("IMPORTRANGE(""https://docs.google.com/spreadsheets/d/1-uDff_7J0KD5mKrp0Vvzr7lt3OU09vwQwhkpOPPYv2Y/edit?usp=sharing"",""งบพรบ!EO26"")"),0)</f>
        <v>0</v>
      </c>
      <c r="N328" s="425">
        <f ca="1">IFERROR(__xludf.DUMMYFUNCTION("IMPORTRANGE(""https://docs.google.com/spreadsheets/d/1-uDff_7J0KD5mKrp0Vvzr7lt3OU09vwQwhkpOPPYv2Y/edit?usp=sharing"",""งบพรบ!EQ26"")"),0)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IFERROR(__xludf.DUMMYFUNCTION("IMPORTRANGE(""https://docs.google.com/spreadsheets/d/1eHaY18a8A9IcSdp1K8H6x8fbOy06t2VsZHhMHf-1x7Y/edit?usp=sharing"",""แผน!EJ26"")"),0)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1340</v>
      </c>
      <c r="J332" s="402">
        <f ca="1">J344+J347+J348+J349+J353</f>
        <v>3142</v>
      </c>
      <c r="K332" s="403">
        <f ca="1">IF(I332&gt;0,J332*100/I332,0)</f>
        <v>234.47761194029852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110000</v>
      </c>
      <c r="M333" s="577">
        <f ca="1">M334+M335</f>
        <v>85750</v>
      </c>
      <c r="N333" s="577">
        <f ca="1">N334+N335</f>
        <v>39000</v>
      </c>
      <c r="O333" s="577">
        <f ca="1">IF(L333&gt;0,N333*100/L333,0)</f>
        <v>35.454545454545453</v>
      </c>
      <c r="P333" s="577">
        <f ca="1">IF(M333&gt;0,N333*100/M333,0)</f>
        <v>45.481049562682216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110000</v>
      </c>
      <c r="M335" s="425">
        <f ca="1">M338+M341</f>
        <v>85750</v>
      </c>
      <c r="N335" s="425">
        <f ca="1">N338+N341</f>
        <v>39000</v>
      </c>
      <c r="O335" s="425">
        <f ca="1">IF(L335&gt;0,N335*100/L335,0)</f>
        <v>35.454545454545453</v>
      </c>
      <c r="P335" s="425">
        <f ca="1">IF(M335&gt;0,N335*100/M335,0)</f>
        <v>45.481049562682216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110000</v>
      </c>
      <c r="M336" s="425">
        <f ca="1">M337+M338</f>
        <v>85750</v>
      </c>
      <c r="N336" s="425">
        <f ca="1">N337+N338</f>
        <v>39000</v>
      </c>
      <c r="O336" s="425">
        <f ca="1">IF(L336&gt;0,N336*100/L336,0)</f>
        <v>35.454545454545453</v>
      </c>
      <c r="P336" s="425">
        <f ca="1">IF(M336&gt;0,N336*100/M336,0)</f>
        <v>45.481049562682216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IFERROR(__xludf.DUMMYFUNCTION("IMPORTRANGE(""https://docs.google.com/spreadsheets/d/1-uDff_7J0KD5mKrp0Vvzr7lt3OU09vwQwhkpOPPYv2Y/edit?usp=sharing"",""งบพรบ!ES26"")"),110000)</f>
        <v>110000</v>
      </c>
      <c r="M338" s="425">
        <f ca="1">IFERROR(__xludf.DUMMYFUNCTION("IMPORTRANGE(""https://docs.google.com/spreadsheets/d/1-uDff_7J0KD5mKrp0Vvzr7lt3OU09vwQwhkpOPPYv2Y/edit?usp=sharing"",""งบพรบ!EX26"")"),85750)</f>
        <v>85750</v>
      </c>
      <c r="N338" s="425">
        <f ca="1">IFERROR(__xludf.DUMMYFUNCTION("IMPORTRANGE(""https://docs.google.com/spreadsheets/d/1-uDff_7J0KD5mKrp0Vvzr7lt3OU09vwQwhkpOPPYv2Y/edit?usp=sharing"",""งบพรบ!EZ26"")"),39000)</f>
        <v>39000</v>
      </c>
      <c r="O338" s="425">
        <f ca="1">IF(L338&gt;0,N338*100/L338,0)</f>
        <v>35.454545454545453</v>
      </c>
      <c r="P338" s="425">
        <f ca="1">IF(M338&gt;0,N338*100/M338,0)</f>
        <v>45.481049562682216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IFERROR(__xludf.DUMMYFUNCTION("IMPORTRANGE(""https://docs.google.com/spreadsheets/d/1-uDff_7J0KD5mKrp0Vvzr7lt3OU09vwQwhkpOPPYv2Y/edit?usp=sharing"",""งบพรบ!EV26"")"),0)</f>
        <v>0</v>
      </c>
      <c r="M341" s="425">
        <f ca="1">IFERROR(__xludf.DUMMYFUNCTION("IMPORTRANGE(""https://docs.google.com/spreadsheets/d/1-uDff_7J0KD5mKrp0Vvzr7lt3OU09vwQwhkpOPPYv2Y/edit?usp=sharing"",""งบพรบ!EY26"")"),0)</f>
        <v>0</v>
      </c>
      <c r="N341" s="425">
        <f ca="1">IFERROR(__xludf.DUMMYFUNCTION("IMPORTRANGE(""https://docs.google.com/spreadsheets/d/1-uDff_7J0KD5mKrp0Vvzr7lt3OU09vwQwhkpOPPYv2Y/edit?usp=sharing"",""งบพรบ!FA26"")"),0)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1716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IFERROR(__xludf.DUMMYFUNCTION("IMPORTRANGE(""https://docs.google.com/spreadsheets/d/1eHaY18a8A9IcSdp1K8H6x8fbOy06t2VsZHhMHf-1x7Y/edit?usp=sharing"",""แผน!EK26"")"),1340)</f>
        <v>1340</v>
      </c>
      <c r="J344" s="424">
        <f ca="1">IFERROR(__xludf.DUMMYFUNCTION("IMPORTRANGE(""https://docs.google.com/spreadsheets/d/1awYsYK3VOup2i3Pq_Yjnu8DRu_mYwSBnCR2QPthd0rU/edit?usp=sharing"",""ศูนย์ยกเว้นโฉนด!D26"")"),1711)</f>
        <v>1711</v>
      </c>
      <c r="K344" s="425">
        <f ca="1">IF(I344&gt;0,J344*100/I344,0)</f>
        <v>127.68656716417911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IFERROR(__xludf.DUMMYFUNCTION("IMPORTRANGE(""https://docs.google.com/spreadsheets/d/1eHaY18a8A9IcSdp1K8H6x8fbOy06t2VsZHhMHf-1x7Y/edit?usp=sharing"",""แผน!EL26"")"),5)</f>
        <v>5</v>
      </c>
      <c r="J346" s="424">
        <f ca="1">IFERROR(__xludf.DUMMYFUNCTION("IMPORTRANGE(""https://docs.google.com/spreadsheets/d/1awYsYK3VOup2i3Pq_Yjnu8DRu_mYwSBnCR2QPthd0rU/edit?usp=sharing"",""ศูนย์รวม!E26"")"),1)</f>
        <v>1</v>
      </c>
      <c r="K346" s="425">
        <f ca="1">IF(I346&gt;0,J346*100/I346,0)</f>
        <v>20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IFERROR(__xludf.DUMMYFUNCTION("IMPORTRANGE(""https://docs.google.com/spreadsheets/d/1awYsYK3VOup2i3Pq_Yjnu8DRu_mYwSBnCR2QPthd0rU/edit?usp=sharing"",""ศูนย์ยกเว้นโฉนด!F26"")"),2)</f>
        <v>2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IFERROR(__xludf.DUMMYFUNCTION("IMPORTRANGE(""https://docs.google.com/spreadsheets/d/1awYsYK3VOup2i3Pq_Yjnu8DRu_mYwSBnCR2QPthd0rU/edit?usp=sharing"",""ศูนย์ยกเว้นโฉนด!G26"")"),3)</f>
        <v>3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IFERROR(__xludf.DUMMYFUNCTION("IMPORTRANGE(""https://docs.google.com/spreadsheets/d/1awYsYK3VOup2i3Pq_Yjnu8DRu_mYwSBnCR2QPthd0rU/edit?usp=sharing"",""ศูนย์ยกเว้นโฉนด!H26"")"),0)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2467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IFERROR(__xludf.DUMMYFUNCTION("IMPORTRANGE(""https://docs.google.com/spreadsheets/d/1awYsYK3VOup2i3Pq_Yjnu8DRu_mYwSBnCR2QPthd0rU/edit?usp=sharing"",""โฉนดM3!G26"")"),1041)</f>
        <v>1041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IFERROR(__xludf.DUMMYFUNCTION("IMPORTRANGE(""https://docs.google.com/spreadsheets/d/1awYsYK3VOup2i3Pq_Yjnu8DRu_mYwSBnCR2QPthd0rU/edit?usp=sharing"",""โฉนดM3!H26"")"),1426)</f>
        <v>1426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568695</v>
      </c>
      <c r="M356" s="577">
        <f ca="1">M357+M358</f>
        <v>490095</v>
      </c>
      <c r="N356" s="577">
        <f ca="1">N357+N358</f>
        <v>122286.71</v>
      </c>
      <c r="O356" s="577">
        <f ca="1">IF(L356&gt;0,N356*100/L356,0)</f>
        <v>21.503039414800551</v>
      </c>
      <c r="P356" s="577">
        <f ca="1">IF(M356&gt;0,N356*100/M356,0)</f>
        <v>24.951633866903354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568695</v>
      </c>
      <c r="M358" s="425">
        <f ca="1">M361+M364</f>
        <v>490095</v>
      </c>
      <c r="N358" s="425">
        <f ca="1">N361+N364</f>
        <v>122286.71</v>
      </c>
      <c r="O358" s="425">
        <f ca="1">IF(L358&gt;0,N358*100/L358,0)</f>
        <v>21.503039414800551</v>
      </c>
      <c r="P358" s="425">
        <f ca="1">IF(M358&gt;0,N358*100/M358,0)</f>
        <v>24.951633866903354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568695</v>
      </c>
      <c r="M359" s="425">
        <f ca="1">M360+M361</f>
        <v>490095</v>
      </c>
      <c r="N359" s="425">
        <f ca="1">N360+N361</f>
        <v>122286.71</v>
      </c>
      <c r="O359" s="425">
        <f ca="1">IF(L359&gt;0,N359*100/L359,0)</f>
        <v>21.503039414800551</v>
      </c>
      <c r="P359" s="425">
        <f ca="1">IF(M359&gt;0,N359*100/M359,0)</f>
        <v>24.951633866903354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IFERROR(__xludf.DUMMYFUNCTION("IMPORTRANGE(""https://docs.google.com/spreadsheets/d/1-uDff_7J0KD5mKrp0Vvzr7lt3OU09vwQwhkpOPPYv2Y/edit?usp=sharing"",""งบพรบ!FC26"")"),568695)</f>
        <v>568695</v>
      </c>
      <c r="M361" s="425">
        <f ca="1">IFERROR(__xludf.DUMMYFUNCTION("IMPORTRANGE(""https://docs.google.com/spreadsheets/d/1-uDff_7J0KD5mKrp0Vvzr7lt3OU09vwQwhkpOPPYv2Y/edit?usp=sharing"",""งบพรบ!FH26"")"),490095)</f>
        <v>490095</v>
      </c>
      <c r="N361" s="425">
        <f ca="1">IFERROR(__xludf.DUMMYFUNCTION("IMPORTRANGE(""https://docs.google.com/spreadsheets/d/1-uDff_7J0KD5mKrp0Vvzr7lt3OU09vwQwhkpOPPYv2Y/edit?usp=sharing"",""งบพรบ!FJ26"")"),122286.71)</f>
        <v>122286.71</v>
      </c>
      <c r="O361" s="425">
        <f ca="1">IF(L361&gt;0,N361*100/L361,0)</f>
        <v>21.503039414800551</v>
      </c>
      <c r="P361" s="425">
        <f ca="1">IF(M361&gt;0,N361*100/M361,0)</f>
        <v>24.951633866903354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IFERROR(__xludf.DUMMYFUNCTION("IMPORTRANGE(""https://docs.google.com/spreadsheets/d/1-uDff_7J0KD5mKrp0Vvzr7lt3OU09vwQwhkpOPPYv2Y/edit?usp=sharing"",""งบพรบ!FF26"")"),0)</f>
        <v>0</v>
      </c>
      <c r="M364" s="425">
        <f ca="1">IFERROR(__xludf.DUMMYFUNCTION("IMPORTRANGE(""https://docs.google.com/spreadsheets/d/1-uDff_7J0KD5mKrp0Vvzr7lt3OU09vwQwhkpOPPYv2Y/edit?usp=sharing"",""งบพรบ!FI26"")"),0)</f>
        <v>0</v>
      </c>
      <c r="N364" s="425">
        <f ca="1">IFERROR(__xludf.DUMMYFUNCTION("IMPORTRANGE(""https://docs.google.com/spreadsheets/d/1-uDff_7J0KD5mKrp0Vvzr7lt3OU09vwQwhkpOPPYv2Y/edit?usp=sharing"",""งบพรบ!FK26"")"),0)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303</v>
      </c>
      <c r="J365" s="438">
        <f ca="1">J371</f>
        <v>34</v>
      </c>
      <c r="K365" s="439">
        <f ca="1">IF(I365&gt;0,J365*100/I365,0)</f>
        <v>11.221122112211221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IFERROR(__xludf.DUMMYFUNCTION("IMPORTRANGE(""https://docs.google.com/spreadsheets/d/1tdoBKaGub7dwA3U6UFTqxio9LNnvDCQjHKmttSEBsFQ/edit?usp=sharing"",""จัดที่ดิน!AB26"")"),86)</f>
        <v>86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IFERROR(__xludf.DUMMYFUNCTION("IMPORTRANGE(""https://docs.google.com/spreadsheets/d/1eHaY18a8A9IcSdp1K8H6x8fbOy06t2VsZHhMHf-1x7Y/edit?usp=sharing"",""แผน!EW26"")"),2545)</f>
        <v>2545</v>
      </c>
      <c r="J368" s="565">
        <f ca="1">IFERROR(__xludf.DUMMYFUNCTION("IMPORTRANGE(""https://docs.google.com/spreadsheets/d/1tdoBKaGub7dwA3U6UFTqxio9LNnvDCQjHKmttSEBsFQ/edit?usp=sharing"",""จัดที่ดิน!AC26"")"),334.74)</f>
        <v>334.74</v>
      </c>
      <c r="K368" s="425">
        <f ca="1">IF(I368&gt;0,J368*100/I368,0)</f>
        <v>13.152848722986247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IFERROR(__xludf.DUMMYFUNCTION("IMPORTRANGE(""https://docs.google.com/spreadsheets/d/1eHaY18a8A9IcSdp1K8H6x8fbOy06t2VsZHhMHf-1x7Y/edit?usp=sharing"",""แผน!EX26"")"),446)</f>
        <v>446</v>
      </c>
      <c r="J369" s="424">
        <f ca="1">IFERROR(__xludf.DUMMYFUNCTION("IMPORTRANGE(""https://docs.google.com/spreadsheets/d/1tdoBKaGub7dwA3U6UFTqxio9LNnvDCQjHKmttSEBsFQ/edit?usp=sharing"",""จัดที่ดิน!AD26"")"),75)</f>
        <v>75</v>
      </c>
      <c r="K369" s="425">
        <f ca="1">IF(I369&gt;0,J369*100/I369,0)</f>
        <v>16.816143497757846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IFERROR(__xludf.DUMMYFUNCTION("IMPORTRANGE(""https://docs.google.com/spreadsheets/d/1tdoBKaGub7dwA3U6UFTqxio9LNnvDCQjHKmttSEBsFQ/edit?usp=sharing"",""จัดที่ดิน!AE26"")"),259.82)</f>
        <v>259.82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IFERROR(__xludf.DUMMYFUNCTION("IMPORTRANGE(""https://docs.google.com/spreadsheets/d/1eHaY18a8A9IcSdp1K8H6x8fbOy06t2VsZHhMHf-1x7Y/edit?usp=sharing"",""แผน!EY26"")"),303)</f>
        <v>303</v>
      </c>
      <c r="J371" s="424">
        <f ca="1">IFERROR(__xludf.DUMMYFUNCTION("IMPORTRANGE(""https://docs.google.com/spreadsheets/d/1tdoBKaGub7dwA3U6UFTqxio9LNnvDCQjHKmttSEBsFQ/edit?usp=sharing"",""จัดที่ดิน!AF26"")"),34)</f>
        <v>34</v>
      </c>
      <c r="K371" s="425">
        <f ca="1">IF(I371&gt;0,J371*100/I371,0)</f>
        <v>11.221122112211221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IFERROR(__xludf.DUMMYFUNCTION("IMPORTRANGE(""https://docs.google.com/spreadsheets/d/1tdoBKaGub7dwA3U6UFTqxio9LNnvDCQjHKmttSEBsFQ/edit?usp=sharing"",""จัดที่ดิน!AG26"")"),206.06)</f>
        <v>206.06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IFERROR(__xludf.DUMMYFUNCTION("IMPORTRANGE(""https://docs.google.com/spreadsheets/d/1-uDff_7J0KD5mKrp0Vvzr7lt3OU09vwQwhkpOPPYv2Y/edit?usp=sharing"",""งบพรบ!FM26"")"),0)</f>
        <v>0</v>
      </c>
      <c r="M382" s="521">
        <f ca="1">IFERROR(__xludf.DUMMYFUNCTION("IMPORTRANGE(""https://docs.google.com/spreadsheets/d/1-uDff_7J0KD5mKrp0Vvzr7lt3OU09vwQwhkpOPPYv2Y/edit?usp=sharing"",""งบพรบ!FR26"")"),0)</f>
        <v>0</v>
      </c>
      <c r="N382" s="521">
        <f ca="1">IFERROR(__xludf.DUMMYFUNCTION("IMPORTRANGE(""https://docs.google.com/spreadsheets/d/1-uDff_7J0KD5mKrp0Vvzr7lt3OU09vwQwhkpOPPYv2Y/edit?usp=sharing"",""งบพรบ!FT26"")"),0)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IFERROR(__xludf.DUMMYFUNCTION("IMPORTRANGE(""https://docs.google.com/spreadsheets/d/1-uDff_7J0KD5mKrp0Vvzr7lt3OU09vwQwhkpOPPYv2Y/edit?usp=sharing"",""งบพรบ!FP26"")"),0)</f>
        <v>0</v>
      </c>
      <c r="M385" s="521">
        <f ca="1">IFERROR(__xludf.DUMMYFUNCTION("IMPORTRANGE(""https://docs.google.com/spreadsheets/d/1-uDff_7J0KD5mKrp0Vvzr7lt3OU09vwQwhkpOPPYv2Y/edit?usp=sharing"",""งบพรบ!FS26"")"),0)</f>
        <v>0</v>
      </c>
      <c r="N385" s="521">
        <f ca="1">IFERROR(__xludf.DUMMYFUNCTION("IMPORTRANGE(""https://docs.google.com/spreadsheets/d/1-uDff_7J0KD5mKrp0Vvzr7lt3OU09vwQwhkpOPPYv2Y/edit?usp=sharing"",""งบพรบ!FU26"")"),0)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A7F6-22DA-4DBF-8387-CAA4A94DBE51}">
  <sheetPr>
    <outlinePr summaryBelow="0" summaryRight="0"/>
  </sheetPr>
  <dimension ref="A1:P391"/>
  <sheetViews>
    <sheetView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28515625" bestFit="1" customWidth="1"/>
    <col min="10" max="10" width="11.140625" bestFit="1" customWidth="1"/>
    <col min="11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179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2536125</v>
      </c>
      <c r="M18" s="704">
        <f ca="1">M19+M20</f>
        <v>2205195</v>
      </c>
      <c r="N18" s="704">
        <f ca="1">N19+N20</f>
        <v>771676.17999999993</v>
      </c>
      <c r="O18" s="704">
        <f ca="1">IF(L18&gt;0,N18*100/L18,0)</f>
        <v>30.427371679235055</v>
      </c>
      <c r="P18" s="704">
        <f ca="1">IF(M18&gt;0,N18*100/M18,0)</f>
        <v>34.993557485845926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2536125</v>
      </c>
      <c r="M20" s="817">
        <f ca="1">M23+M26</f>
        <v>2205195</v>
      </c>
      <c r="N20" s="817">
        <f ca="1">N23+N26</f>
        <v>771676.17999999993</v>
      </c>
      <c r="O20" s="817">
        <f ca="1">IF(L20&gt;0,N20*100/L20,0)</f>
        <v>30.427371679235055</v>
      </c>
      <c r="P20" s="817">
        <f ca="1">IF(M20&gt;0,N20*100/M20,0)</f>
        <v>34.993557485845926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2536125</v>
      </c>
      <c r="M21" s="425">
        <f ca="1">M22+M23</f>
        <v>2205195</v>
      </c>
      <c r="N21" s="425">
        <f ca="1">N22+N23</f>
        <v>771676.17999999993</v>
      </c>
      <c r="O21" s="425">
        <f ca="1">IF(L21&gt;0,N21*100/L21,0)</f>
        <v>30.427371679235055</v>
      </c>
      <c r="P21" s="425">
        <f ca="1">IF(M21&gt;0,N21*100/M21,0)</f>
        <v>34.993557485845926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2536125</v>
      </c>
      <c r="M23" s="425">
        <f ca="1">M49+M64+M77+M99+M130+M144+M162+M191+M178+M271+M287+M308+M325+M338+M361+M382</f>
        <v>2205195</v>
      </c>
      <c r="N23" s="425">
        <f ca="1">N49+N64+N77+N99+N130+N144+N162+N191+N178+N271+N287+N308+N325+N338+N361+N382</f>
        <v>771676.17999999993</v>
      </c>
      <c r="O23" s="425">
        <f ca="1">IF(L23&gt;0,N23*100/L23,0)</f>
        <v>30.427371679235055</v>
      </c>
      <c r="P23" s="425">
        <f ca="1">IF(M23&gt;0,N23*100/M23,0)</f>
        <v>34.993557485845926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2536125</v>
      </c>
      <c r="M40" s="809">
        <f ca="1">M44+M59+M72+M94+M125+M139+M157+M173+M186+M266+M282+M303+M320+M333+M356</f>
        <v>2205195</v>
      </c>
      <c r="N40" s="809">
        <f ca="1">N44+N59+N72+N94+N125+N139+N157+N173+N186+N266+N282+N303+N320+N333+N356</f>
        <v>771676.17999999993</v>
      </c>
      <c r="O40" s="809">
        <f ca="1">IF(L40&gt;0,N40*100/L40,0)</f>
        <v>30.427371679235055</v>
      </c>
      <c r="P40" s="809">
        <f ca="1">IF(M40&gt;0,N40*100/M40,0)</f>
        <v>34.993557485845926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355250</v>
      </c>
      <c r="M44" s="794">
        <f ca="1">M45+M46</f>
        <v>366500</v>
      </c>
      <c r="N44" s="794">
        <f ca="1">N45+N46</f>
        <v>133848.95000000001</v>
      </c>
      <c r="O44" s="794">
        <f ca="1">IF(L44&gt;0,N44*100/L44,0)</f>
        <v>37.67739619985926</v>
      </c>
      <c r="P44" s="794">
        <f ca="1">IF(M44&gt;0,N44*100/M44,0)</f>
        <v>36.520859481582541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355250</v>
      </c>
      <c r="M46" s="783">
        <f ca="1">M49+M52</f>
        <v>366500</v>
      </c>
      <c r="N46" s="783">
        <f ca="1">N49+N52</f>
        <v>133848.95000000001</v>
      </c>
      <c r="O46" s="783">
        <f ca="1">IF(L46&gt;0,N46*100/L46,0)</f>
        <v>37.67739619985926</v>
      </c>
      <c r="P46" s="783">
        <f ca="1">IF(M46&gt;0,N46*100/M46,0)</f>
        <v>36.520859481582541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355250</v>
      </c>
      <c r="M47" s="425">
        <f ca="1">M48+M49</f>
        <v>366500</v>
      </c>
      <c r="N47" s="425">
        <f ca="1">N48+N49</f>
        <v>133848.95000000001</v>
      </c>
      <c r="O47" s="425">
        <f ca="1">IF(L47&gt;0,N47*100/L47,0)</f>
        <v>37.67739619985926</v>
      </c>
      <c r="P47" s="425">
        <f ca="1">IF(M47&gt;0,N47*100/M47,0)</f>
        <v>36.520859481582541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IFERROR(__xludf.DUMMYFUNCTION("IMPORTRANGE(""https://docs.google.com/spreadsheets/d/1-uDff_7J0KD5mKrp0Vvzr7lt3OU09vwQwhkpOPPYv2Y/edit?usp=sharing"",""งบพรบ!P27"")"),355250)</f>
        <v>355250</v>
      </c>
      <c r="M49" s="425">
        <f ca="1">IFERROR(__xludf.DUMMYFUNCTION("IMPORTRANGE(""https://docs.google.com/spreadsheets/d/1-uDff_7J0KD5mKrp0Vvzr7lt3OU09vwQwhkpOPPYv2Y/edit?usp=sharing"",""งบพรบ!V27"")"),366500)</f>
        <v>366500</v>
      </c>
      <c r="N49" s="425">
        <f ca="1">IFERROR(__xludf.DUMMYFUNCTION("IMPORTRANGE(""https://docs.google.com/spreadsheets/d/1-uDff_7J0KD5mKrp0Vvzr7lt3OU09vwQwhkpOPPYv2Y/edit?usp=sharing"",""งบพรบ!Y27"")"),133848.95)</f>
        <v>133848.95000000001</v>
      </c>
      <c r="O49" s="425">
        <f ca="1">IF(L49&gt;0,N49*100/L49,0)</f>
        <v>37.67739619985926</v>
      </c>
      <c r="P49" s="425">
        <f ca="1">IF(M49&gt;0,N49*100/M49,0)</f>
        <v>36.520859481582541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IFERROR(__xludf.DUMMYFUNCTION("IMPORTRANGE(""https://docs.google.com/spreadsheets/d/1-uDff_7J0KD5mKrp0Vvzr7lt3OU09vwQwhkpOPPYv2Y/edit?usp=sharing"",""งบพรบ!S27"")"),0)</f>
        <v>0</v>
      </c>
      <c r="M52" s="425">
        <f ca="1">IFERROR(__xludf.DUMMYFUNCTION("IMPORTRANGE(""https://docs.google.com/spreadsheets/d/1-uDff_7J0KD5mKrp0Vvzr7lt3OU09vwQwhkpOPPYv2Y/edit?usp=sharing"",""งบพรบ!W27"")"),0)</f>
        <v>0</v>
      </c>
      <c r="N52" s="425">
        <f ca="1">IFERROR(__xludf.DUMMYFUNCTION("IMPORTRANGE(""https://docs.google.com/spreadsheets/d/1-uDff_7J0KD5mKrp0Vvzr7lt3OU09vwQwhkpOPPYv2Y/edit?usp=sharing"",""งบพรบ!Z27"")"),0)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530800</v>
      </c>
      <c r="M59" s="763">
        <f ca="1">M60+M61</f>
        <v>400250</v>
      </c>
      <c r="N59" s="763">
        <f ca="1">N60+N61</f>
        <v>257343.05</v>
      </c>
      <c r="O59" s="763">
        <f ca="1">IF(L59&gt;0,N59*100/L59,0)</f>
        <v>48.482111906556142</v>
      </c>
      <c r="P59" s="763">
        <f ca="1">IF(M59&gt;0,N59*100/M59,0)</f>
        <v>64.295577763897569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530800</v>
      </c>
      <c r="M61" s="752">
        <f ca="1">M64+M67</f>
        <v>400250</v>
      </c>
      <c r="N61" s="752">
        <f ca="1">N64+N67</f>
        <v>257343.05</v>
      </c>
      <c r="O61" s="752">
        <f ca="1">IF(L61&gt;0,N61*100/L61,0)</f>
        <v>48.482111906556142</v>
      </c>
      <c r="P61" s="752">
        <f ca="1">IF(M61&gt;0,N61*100/M61,0)</f>
        <v>64.295577763897569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530800</v>
      </c>
      <c r="M62" s="425">
        <f ca="1">M63+M64</f>
        <v>400250</v>
      </c>
      <c r="N62" s="425">
        <f ca="1">N63+N64</f>
        <v>257343.05</v>
      </c>
      <c r="O62" s="425">
        <f ca="1">IF(L62&gt;0,N62*100/L62,0)</f>
        <v>48.482111906556142</v>
      </c>
      <c r="P62" s="425">
        <f ca="1">IF(M62&gt;0,N62*100/M62,0)</f>
        <v>64.295577763897569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IFERROR(__xludf.DUMMYFUNCTION("IMPORTRANGE(""https://docs.google.com/spreadsheets/d/1-uDff_7J0KD5mKrp0Vvzr7lt3OU09vwQwhkpOPPYv2Y/edit?usp=sharing"",""งบพรบ!AC27"")"),530800)</f>
        <v>530800</v>
      </c>
      <c r="M64" s="425">
        <f ca="1">IFERROR(__xludf.DUMMYFUNCTION("IMPORTRANGE(""https://docs.google.com/spreadsheets/d/1-uDff_7J0KD5mKrp0Vvzr7lt3OU09vwQwhkpOPPYv2Y/edit?usp=sharing"",""งบพรบ!AH27"")"),400250)</f>
        <v>400250</v>
      </c>
      <c r="N64" s="425">
        <f ca="1">IFERROR(__xludf.DUMMYFUNCTION("IMPORTRANGE(""https://docs.google.com/spreadsheets/d/1-uDff_7J0KD5mKrp0Vvzr7lt3OU09vwQwhkpOPPYv2Y/edit?usp=sharing"",""งบพรบ!AJ27"")"),257343.05)</f>
        <v>257343.05</v>
      </c>
      <c r="O64" s="425">
        <f ca="1">IF(L64&gt;0,N64*100/L64,0)</f>
        <v>48.482111906556142</v>
      </c>
      <c r="P64" s="425">
        <f ca="1">IF(M64&gt;0,N64*100/M64,0)</f>
        <v>64.295577763897569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IFERROR(__xludf.DUMMYFUNCTION("IMPORTRANGE(""https://docs.google.com/spreadsheets/d/1-uDff_7J0KD5mKrp0Vvzr7lt3OU09vwQwhkpOPPYv2Y/edit?usp=sharing"",""งบพรบ!AF27"")"),0)</f>
        <v>0</v>
      </c>
      <c r="M67" s="747">
        <f ca="1">IFERROR(__xludf.DUMMYFUNCTION("IMPORTRANGE(""https://docs.google.com/spreadsheets/d/1-uDff_7J0KD5mKrp0Vvzr7lt3OU09vwQwhkpOPPYv2Y/edit?usp=sharing"",""งบพรบ!AI27"")"),0)</f>
        <v>0</v>
      </c>
      <c r="N67" s="747">
        <f ca="1">IFERROR(__xludf.DUMMYFUNCTION("IMPORTRANGE(""https://docs.google.com/spreadsheets/d/1-uDff_7J0KD5mKrp0Vvzr7lt3OU09vwQwhkpOPPYv2Y/edit?usp=sharing"",""งบพรบ!AK27"")"),0)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1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35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633500</v>
      </c>
      <c r="M72" s="577">
        <f ca="1">M73+M74</f>
        <v>524500</v>
      </c>
      <c r="N72" s="577">
        <f ca="1">N73+N74</f>
        <v>85444.18</v>
      </c>
      <c r="O72" s="577">
        <f ca="1">IF(L72&gt;0,N72*100/L72,0)</f>
        <v>13.487636937647988</v>
      </c>
      <c r="P72" s="577">
        <f ca="1">IF(M72&gt;0,N72*100/M72,0)</f>
        <v>16.290596758817923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633500</v>
      </c>
      <c r="M74" s="425">
        <f ca="1">M77+M80</f>
        <v>524500</v>
      </c>
      <c r="N74" s="425">
        <f ca="1">N77+N80</f>
        <v>85444.18</v>
      </c>
      <c r="O74" s="425">
        <f ca="1">IF(L74&gt;0,N74*100/L74,0)</f>
        <v>13.487636937647988</v>
      </c>
      <c r="P74" s="425">
        <f ca="1">IF(M74&gt;0,N74*100/M74,0)</f>
        <v>16.290596758817923</v>
      </c>
    </row>
    <row r="75" spans="1:16" ht="18.75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633500</v>
      </c>
      <c r="M75" s="425">
        <f ca="1">M76+M77</f>
        <v>524500</v>
      </c>
      <c r="N75" s="425">
        <f ca="1">N76+N77</f>
        <v>85444.18</v>
      </c>
      <c r="O75" s="425">
        <f ca="1">IF(L75&gt;0,N75*100/L75,0)</f>
        <v>13.487636937647988</v>
      </c>
      <c r="P75" s="425">
        <f ca="1">IF(M75&gt;0,N75*100/M75,0)</f>
        <v>16.290596758817923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IFERROR(__xludf.DUMMYFUNCTION("IMPORTRANGE(""https://docs.google.com/spreadsheets/d/1-uDff_7J0KD5mKrp0Vvzr7lt3OU09vwQwhkpOPPYv2Y/edit?usp=sharing"",""งบพรบ!AM27"")"),633500)</f>
        <v>633500</v>
      </c>
      <c r="M77" s="425">
        <f ca="1">IFERROR(__xludf.DUMMYFUNCTION("IMPORTRANGE(""https://docs.google.com/spreadsheets/d/1-uDff_7J0KD5mKrp0Vvzr7lt3OU09vwQwhkpOPPYv2Y/edit?usp=sharing"",""งบพรบ!AR27"")"),524500)</f>
        <v>524500</v>
      </c>
      <c r="N77" s="425">
        <f ca="1">IFERROR(__xludf.DUMMYFUNCTION("IMPORTRANGE(""https://docs.google.com/spreadsheets/d/1-uDff_7J0KD5mKrp0Vvzr7lt3OU09vwQwhkpOPPYv2Y/edit?usp=sharing"",""งบพรบ!AT27"")"),85444.18)</f>
        <v>85444.18</v>
      </c>
      <c r="O77" s="425">
        <f ca="1">IF(L77&gt;0,N77*100/L77,0)</f>
        <v>13.487636937647988</v>
      </c>
      <c r="P77" s="425">
        <f ca="1">IF(M77&gt;0,N77*100/M77,0)</f>
        <v>16.290596758817923</v>
      </c>
    </row>
    <row r="78" spans="1:16" ht="18.75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IFERROR(__xludf.DUMMYFUNCTION("IMPORTRANGE(""https://docs.google.com/spreadsheets/d/1-uDff_7J0KD5mKrp0Vvzr7lt3OU09vwQwhkpOPPYv2Y/edit?usp=sharing"",""งบพรบ!AP27"")"),0)</f>
        <v>0</v>
      </c>
      <c r="M80" s="425">
        <f ca="1">IFERROR(__xludf.DUMMYFUNCTION("IMPORTRANGE(""https://docs.google.com/spreadsheets/d/1-uDff_7J0KD5mKrp0Vvzr7lt3OU09vwQwhkpOPPYv2Y/edit?usp=sharing"",""งบพรบ!AS27"")"),0)</f>
        <v>0</v>
      </c>
      <c r="N80" s="425">
        <f ca="1">IFERROR(__xludf.DUMMYFUNCTION("IMPORTRANGE(""https://docs.google.com/spreadsheets/d/1-uDff_7J0KD5mKrp0Vvzr7lt3OU09vwQwhkpOPPYv2Y/edit?usp=sharing"",""งบพรบ!AU27"")"),0)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1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35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IFERROR(__xludf.DUMMYFUNCTION("IMPORTRANGE(""https://docs.google.com/spreadsheets/d/1eHaY18a8A9IcSdp1K8H6x8fbOy06t2VsZHhMHf-1x7Y/edit?usp=sharing"",""แผน!H27"")"),0)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IFERROR(__xludf.DUMMYFUNCTION("IMPORTRANGE(""https://docs.google.com/spreadsheets/d/1eHaY18a8A9IcSdp1K8H6x8fbOy06t2VsZHhMHf-1x7Y/edit?usp=sharing"",""แผน!I27"")"),0)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IFERROR(__xludf.DUMMYFUNCTION("IMPORTRANGE(""https://docs.google.com/spreadsheets/d/1eHaY18a8A9IcSdp1K8H6x8fbOy06t2VsZHhMHf-1x7Y/edit?usp=sharing"",""แผน!F27"")"),0)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IFERROR(__xludf.DUMMYFUNCTION("IMPORTRANGE(""https://docs.google.com/spreadsheets/d/1eHaY18a8A9IcSdp1K8H6x8fbOy06t2VsZHhMHf-1x7Y/edit?usp=sharing"",""แผน!G27"")"),0)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IFERROR(__xludf.DUMMYFUNCTION("IMPORTRANGE(""https://docs.google.com/spreadsheets/d/1eHaY18a8A9IcSdp1K8H6x8fbOy06t2VsZHhMHf-1x7Y/edit?usp=sharing"",""แผน!D27"")"),1)</f>
        <v>1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IFERROR(__xludf.DUMMYFUNCTION("IMPORTRANGE(""https://docs.google.com/spreadsheets/d/1eHaY18a8A9IcSdp1K8H6x8fbOy06t2VsZHhMHf-1x7Y/edit?usp=sharing"",""แผน!E27"")"),35)</f>
        <v>35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IFERROR(__xludf.DUMMYFUNCTION("IMPORTRANGE(""https://docs.google.com/spreadsheets/d/1eHaY18a8A9IcSdp1K8H6x8fbOy06t2VsZHhMHf-1x7Y/edit?usp=sharing"",""แผน!J27"")"),1)</f>
        <v>1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30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10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136300</v>
      </c>
      <c r="M94" s="577">
        <f ca="1">M95+M96</f>
        <v>112000</v>
      </c>
      <c r="N94" s="577">
        <f ca="1">N95+N96</f>
        <v>40240</v>
      </c>
      <c r="O94" s="577">
        <f ca="1">IF(L94&gt;0,N94*100/L94,0)</f>
        <v>29.523110785033015</v>
      </c>
      <c r="P94" s="577">
        <f ca="1">IF(M94&gt;0,N94*100/M94,0)</f>
        <v>35.928571428571431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136300</v>
      </c>
      <c r="M96" s="425">
        <f ca="1">M99+M102</f>
        <v>112000</v>
      </c>
      <c r="N96" s="425">
        <f ca="1">N99+N102</f>
        <v>40240</v>
      </c>
      <c r="O96" s="425">
        <f ca="1">IF(L96&gt;0,N96*100/L96,0)</f>
        <v>29.523110785033015</v>
      </c>
      <c r="P96" s="425">
        <f ca="1">IF(M96&gt;0,N96*100/M96,0)</f>
        <v>35.928571428571431</v>
      </c>
    </row>
    <row r="97" spans="1:16" ht="18.75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136300</v>
      </c>
      <c r="M97" s="425">
        <f ca="1">M98+M99</f>
        <v>112000</v>
      </c>
      <c r="N97" s="425">
        <f ca="1">N98+N99</f>
        <v>40240</v>
      </c>
      <c r="O97" s="425">
        <f ca="1">IF(L97&gt;0,N97*100/L97,0)</f>
        <v>29.523110785033015</v>
      </c>
      <c r="P97" s="425">
        <f ca="1">IF(M97&gt;0,N97*100/M97,0)</f>
        <v>35.928571428571431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IFERROR(__xludf.DUMMYFUNCTION("IMPORTRANGE(""https://docs.google.com/spreadsheets/d/1-uDff_7J0KD5mKrp0Vvzr7lt3OU09vwQwhkpOPPYv2Y/edit?usp=sharing"",""งบพรบ!AW27"")"),136300)</f>
        <v>136300</v>
      </c>
      <c r="M99" s="425">
        <f ca="1">IFERROR(__xludf.DUMMYFUNCTION("IMPORTRANGE(""https://docs.google.com/spreadsheets/d/1-uDff_7J0KD5mKrp0Vvzr7lt3OU09vwQwhkpOPPYv2Y/edit?usp=sharing"",""งบพรบ!BB27"")"),112000)</f>
        <v>112000</v>
      </c>
      <c r="N99" s="425">
        <f ca="1">IFERROR(__xludf.DUMMYFUNCTION("IMPORTRANGE(""https://docs.google.com/spreadsheets/d/1-uDff_7J0KD5mKrp0Vvzr7lt3OU09vwQwhkpOPPYv2Y/edit?usp=sharing"",""งบพรบ!BD27"")"),40240)</f>
        <v>40240</v>
      </c>
      <c r="O99" s="425">
        <f ca="1">IF(L99&gt;0,N99*100/L99,0)</f>
        <v>29.523110785033015</v>
      </c>
      <c r="P99" s="425">
        <f ca="1">IF(M99&gt;0,N99*100/M99,0)</f>
        <v>35.928571428571431</v>
      </c>
    </row>
    <row r="100" spans="1:16" ht="18.75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IFERROR(__xludf.DUMMYFUNCTION("IMPORTRANGE(""https://docs.google.com/spreadsheets/d/1-uDff_7J0KD5mKrp0Vvzr7lt3OU09vwQwhkpOPPYv2Y/edit?usp=sharing"",""งบพรบ!AZ27"")"),0)</f>
        <v>0</v>
      </c>
      <c r="M102" s="425">
        <f ca="1">IFERROR(__xludf.DUMMYFUNCTION("IMPORTRANGE(""https://docs.google.com/spreadsheets/d/1-uDff_7J0KD5mKrp0Vvzr7lt3OU09vwQwhkpOPPYv2Y/edit?usp=sharing"",""งบพรบ!BC27"")"),0)</f>
        <v>0</v>
      </c>
      <c r="N102" s="425">
        <f ca="1">IFERROR(__xludf.DUMMYFUNCTION("IMPORTRANGE(""https://docs.google.com/spreadsheets/d/1-uDff_7J0KD5mKrp0Vvzr7lt3OU09vwQwhkpOPPYv2Y/edit?usp=sharing"",""งบพรบ!BE27"")"),0)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IFERROR(__xludf.DUMMYFUNCTION("IMPORTRANGE(""https://docs.google.com/spreadsheets/d/1eHaY18a8A9IcSdp1K8H6x8fbOy06t2VsZHhMHf-1x7Y/edit?usp=sharing"",""แผน!N27"")"),30)</f>
        <v>30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IFERROR(__xludf.DUMMYFUNCTION("IMPORTRANGE(""https://docs.google.com/spreadsheets/d/1eHaY18a8A9IcSdp1K8H6x8fbOy06t2VsZHhMHf-1x7Y/edit?usp=sharing"",""แผน!O27"")"),10)</f>
        <v>10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IFERROR(__xludf.DUMMYFUNCTION("IMPORTRANGE(""https://docs.google.com/spreadsheets/d/1eHaY18a8A9IcSdp1K8H6x8fbOy06t2VsZHhMHf-1x7Y/edit?usp=sharing"",""แผน!R27"")"),10)</f>
        <v>10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IFERROR(__xludf.DUMMYFUNCTION("IMPORTRANGE(""https://docs.google.com/spreadsheets/d/1-uDff_7J0KD5mKrp0Vvzr7lt3OU09vwQwhkpOPPYv2Y/edit?usp=sharing"",""งบพรบ!BG27"")"),0)</f>
        <v>0</v>
      </c>
      <c r="M130" s="723">
        <f ca="1">IFERROR(__xludf.DUMMYFUNCTION("IMPORTRANGE(""https://docs.google.com/spreadsheets/d/1-uDff_7J0KD5mKrp0Vvzr7lt3OU09vwQwhkpOPPYv2Y/edit?usp=sharing"",""งบพรบ!BL27"")"),0)</f>
        <v>0</v>
      </c>
      <c r="N130" s="723">
        <f ca="1">IFERROR(__xludf.DUMMYFUNCTION("IMPORTRANGE(""https://docs.google.com/spreadsheets/d/1-uDff_7J0KD5mKrp0Vvzr7lt3OU09vwQwhkpOPPYv2Y/edit?usp=sharing"",""งบพรบ!BN27"")"),0)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IFERROR(__xludf.DUMMYFUNCTION("IMPORTRANGE(""https://docs.google.com/spreadsheets/d/1-uDff_7J0KD5mKrp0Vvzr7lt3OU09vwQwhkpOPPYv2Y/edit?usp=sharing"",""งบพรบ!BJ27"")"),0)</f>
        <v>0</v>
      </c>
      <c r="M133" s="723">
        <f ca="1">IFERROR(__xludf.DUMMYFUNCTION("IMPORTRANGE(""https://docs.google.com/spreadsheets/d/1-uDff_7J0KD5mKrp0Vvzr7lt3OU09vwQwhkpOPPYv2Y/edit?usp=sharing"",""งบพรบ!BM27"")"),0)</f>
        <v>0</v>
      </c>
      <c r="N133" s="723">
        <f ca="1">IFERROR(__xludf.DUMMYFUNCTION("IMPORTRANGE(""https://docs.google.com/spreadsheets/d/1-uDff_7J0KD5mKrp0Vvzr7lt3OU09vwQwhkpOPPYv2Y/edit?usp=sharing"",""งบพรบ!BO27"")"),0)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IFERROR(__xludf.DUMMYFUNCTION("IMPORTRANGE(""https://docs.google.com/spreadsheets/d/1-uDff_7J0KD5mKrp0Vvzr7lt3OU09vwQwhkpOPPYv2Y/edit?usp=sharing"",""งบพรบ!BQ27"")"),0)</f>
        <v>0</v>
      </c>
      <c r="M144" s="425">
        <f ca="1">IFERROR(__xludf.DUMMYFUNCTION("IMPORTRANGE(""https://docs.google.com/spreadsheets/d/1-uDff_7J0KD5mKrp0Vvzr7lt3OU09vwQwhkpOPPYv2Y/edit?usp=sharing"",""งบพรบ!BV27"")"),0)</f>
        <v>0</v>
      </c>
      <c r="N144" s="425">
        <f ca="1">IFERROR(__xludf.DUMMYFUNCTION("IMPORTRANGE(""https://docs.google.com/spreadsheets/d/1-uDff_7J0KD5mKrp0Vvzr7lt3OU09vwQwhkpOPPYv2Y/edit?usp=sharing"",""งบพรบ!BX27"")"),0)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IFERROR(__xludf.DUMMYFUNCTION("IMPORTRANGE(""https://docs.google.com/spreadsheets/d/1-uDff_7J0KD5mKrp0Vvzr7lt3OU09vwQwhkpOPPYv2Y/edit?usp=sharing"",""งบพรบ!BT27"")"),0)</f>
        <v>0</v>
      </c>
      <c r="M147" s="425">
        <f ca="1">IFERROR(__xludf.DUMMYFUNCTION("IMPORTRANGE(""https://docs.google.com/spreadsheets/d/1-uDff_7J0KD5mKrp0Vvzr7lt3OU09vwQwhkpOPPYv2Y/edit?usp=sharing"",""งบพรบ!BW27"")"),0)</f>
        <v>0</v>
      </c>
      <c r="N147" s="425">
        <f ca="1">IFERROR(__xludf.DUMMYFUNCTION("IMPORTRANGE(""https://docs.google.com/spreadsheets/d/1-uDff_7J0KD5mKrp0Vvzr7lt3OU09vwQwhkpOPPYv2Y/edit?usp=sharing"",""งบพรบ!BY27"")"),0)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IFERROR(__xludf.DUMMYFUNCTION("IMPORTRANGE(""https://docs.google.com/spreadsheets/d/1eHaY18a8A9IcSdp1K8H6x8fbOy06t2VsZHhMHf-1x7Y/edit?usp=sharing"",""แผน!U27"")"),0)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IFERROR(__xludf.DUMMYFUNCTION("IMPORTRANGE(""https://docs.google.com/spreadsheets/d/1eHaY18a8A9IcSdp1K8H6x8fbOy06t2VsZHhMHf-1x7Y/edit?usp=sharing"",""แผน!V27"")"),0)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IFERROR(__xludf.DUMMYFUNCTION("IMPORTRANGE(""https://docs.google.com/spreadsheets/d/1eHaY18a8A9IcSdp1K8H6x8fbOy06t2VsZHhMHf-1x7Y/edit?usp=sharing"",""แผน!W27"")"),0)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IFERROR(__xludf.DUMMYFUNCTION("IMPORTRANGE(""https://docs.google.com/spreadsheets/d/1eHaY18a8A9IcSdp1K8H6x8fbOy06t2VsZHhMHf-1x7Y/edit?usp=sharing"",""แผน!X27"")"),0)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IFERROR(__xludf.DUMMYFUNCTION("IMPORTRANGE(""https://docs.google.com/spreadsheets/d/1eHaY18a8A9IcSdp1K8H6x8fbOy06t2VsZHhMHf-1x7Y/edit?usp=sharing"",""แผน!Y27"")"),0)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3000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IFERROR(__xludf.DUMMYFUNCTION("IMPORTRANGE(""https://docs.google.com/spreadsheets/d/1-uDff_7J0KD5mKrp0Vvzr7lt3OU09vwQwhkpOPPYv2Y/edit?usp=sharing"",""งบพรบ!CA27"")"),3000)</f>
        <v>3000</v>
      </c>
      <c r="M162" s="425">
        <f ca="1">IFERROR(__xludf.DUMMYFUNCTION("IMPORTRANGE(""https://docs.google.com/spreadsheets/d/1-uDff_7J0KD5mKrp0Vvzr7lt3OU09vwQwhkpOPPYv2Y/edit?usp=sharing"",""งบพรบ!CF27"")"),0)</f>
        <v>0</v>
      </c>
      <c r="N162" s="425">
        <f ca="1">IFERROR(__xludf.DUMMYFUNCTION("IMPORTRANGE(""https://docs.google.com/spreadsheets/d/1-uDff_7J0KD5mKrp0Vvzr7lt3OU09vwQwhkpOPPYv2Y/edit?usp=sharing"",""งบพรบ!CH27"")"),0)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IFERROR(__xludf.DUMMYFUNCTION("IMPORTRANGE(""https://docs.google.com/spreadsheets/d/1-uDff_7J0KD5mKrp0Vvzr7lt3OU09vwQwhkpOPPYv2Y/edit?usp=sharing"",""งบพรบ!CD27"")"),0)</f>
        <v>0</v>
      </c>
      <c r="M165" s="425">
        <f ca="1">IFERROR(__xludf.DUMMYFUNCTION("IMPORTRANGE(""https://docs.google.com/spreadsheets/d/1-uDff_7J0KD5mKrp0Vvzr7lt3OU09vwQwhkpOPPYv2Y/edit?usp=sharing"",""งบพรบ!CG27"")"),0)</f>
        <v>0</v>
      </c>
      <c r="N165" s="425">
        <f ca="1">IFERROR(__xludf.DUMMYFUNCTION("IMPORTRANGE(""https://docs.google.com/spreadsheets/d/1-uDff_7J0KD5mKrp0Vvzr7lt3OU09vwQwhkpOPPYv2Y/edit?usp=sharing"",""งบพรบ!CI27"")"),0)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IFERROR(__xludf.DUMMYFUNCTION("IMPORTRANGE(""https://docs.google.com/spreadsheets/d/1eHaY18a8A9IcSdp1K8H6x8fbOy06t2VsZHhMHf-1x7Y/edit?usp=sharing"",""แผน!Z27"")"),10)</f>
        <v>10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114550</v>
      </c>
      <c r="N173" s="577">
        <f ca="1">N174+N175</f>
        <v>68960</v>
      </c>
      <c r="O173" s="577">
        <f ca="1">IF(L173&gt;0,N173*100/L173,0)</f>
        <v>352.0163348647269</v>
      </c>
      <c r="P173" s="577">
        <f ca="1">IF(M173&gt;0,N173*100/M173,0)</f>
        <v>60.20078568310781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114550</v>
      </c>
      <c r="N175" s="425">
        <f ca="1">N178+N181</f>
        <v>68960</v>
      </c>
      <c r="O175" s="425">
        <f ca="1">IF(L175&gt;0,N175*100/L175,0)</f>
        <v>352.0163348647269</v>
      </c>
      <c r="P175" s="425">
        <f ca="1">IF(M175&gt;0,N175*100/M175,0)</f>
        <v>60.20078568310781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114550</v>
      </c>
      <c r="N176" s="425">
        <f ca="1">N177+N178</f>
        <v>68960</v>
      </c>
      <c r="O176" s="425">
        <f ca="1">IF(L176&gt;0,N176*100/L176,0)</f>
        <v>352.0163348647269</v>
      </c>
      <c r="P176" s="425">
        <f ca="1">IF(M176&gt;0,N176*100/M176,0)</f>
        <v>60.20078568310781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IFERROR(__xludf.DUMMYFUNCTION("IMPORTRANGE(""https://docs.google.com/spreadsheets/d/1-uDff_7J0KD5mKrp0Vvzr7lt3OU09vwQwhkpOPPYv2Y/edit?usp=sharing"",""งบพรบ!CK27"")"),19590)</f>
        <v>19590</v>
      </c>
      <c r="M178" s="425">
        <f ca="1">IFERROR(__xludf.DUMMYFUNCTION("IMPORTRANGE(""https://docs.google.com/spreadsheets/d/1-uDff_7J0KD5mKrp0Vvzr7lt3OU09vwQwhkpOPPYv2Y/edit?usp=sharing"",""งบพรบ!CP27"")"),114550)</f>
        <v>114550</v>
      </c>
      <c r="N178" s="425">
        <f ca="1">IFERROR(__xludf.DUMMYFUNCTION("IMPORTRANGE(""https://docs.google.com/spreadsheets/d/1-uDff_7J0KD5mKrp0Vvzr7lt3OU09vwQwhkpOPPYv2Y/edit?usp=sharing"",""งบพรบ!CR27"")"),68960)</f>
        <v>68960</v>
      </c>
      <c r="O178" s="425">
        <f ca="1">IF(L178&gt;0,N178*100/L178,0)</f>
        <v>352.0163348647269</v>
      </c>
      <c r="P178" s="425">
        <f ca="1">IF(M178&gt;0,N178*100/M178,0)</f>
        <v>60.20078568310781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IFERROR(__xludf.DUMMYFUNCTION("IMPORTRANGE(""https://docs.google.com/spreadsheets/d/1-uDff_7J0KD5mKrp0Vvzr7lt3OU09vwQwhkpOPPYv2Y/edit?usp=sharing"",""งบพรบ!CN27"")"),0)</f>
        <v>0</v>
      </c>
      <c r="M181" s="425">
        <f ca="1">IFERROR(__xludf.DUMMYFUNCTION("IMPORTRANGE(""https://docs.google.com/spreadsheets/d/1-uDff_7J0KD5mKrp0Vvzr7lt3OU09vwQwhkpOPPYv2Y/edit?usp=sharing"",""งบพรบ!CQ27"")"),0)</f>
        <v>0</v>
      </c>
      <c r="N181" s="425">
        <f ca="1">IFERROR(__xludf.DUMMYFUNCTION("IMPORTRANGE(""https://docs.google.com/spreadsheets/d/1-uDff_7J0KD5mKrp0Vvzr7lt3OU09vwQwhkpOPPYv2Y/edit?usp=sharing"",""งบพรบ!CS27"")"),0)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IFERROR(__xludf.DUMMYFUNCTION("IMPORTRANGE(""https://docs.google.com/spreadsheets/d/1eHaY18a8A9IcSdp1K8H6x8fbOy06t2VsZHhMHf-1x7Y/edit?usp=sharing"",""แผน!AA27"")"),7)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40</v>
      </c>
      <c r="J185" s="688">
        <f>J230+J231</f>
        <v>10</v>
      </c>
      <c r="K185" s="687">
        <f ca="1">IF(I185&gt;0,J185*100/I185,0)</f>
        <v>25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452600</v>
      </c>
      <c r="M186" s="577">
        <f ca="1">M187+M188</f>
        <v>356200</v>
      </c>
      <c r="N186" s="577">
        <f ca="1">N187+N188</f>
        <v>96640</v>
      </c>
      <c r="O186" s="577">
        <f ca="1">IF(L186&gt;0,N186*100/L186,0)</f>
        <v>21.352187361908971</v>
      </c>
      <c r="P186" s="577">
        <f ca="1">IF(M186&gt;0,N186*100/M186,0)</f>
        <v>27.130825379000562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452600</v>
      </c>
      <c r="M188" s="425">
        <f ca="1">M191+M194</f>
        <v>356200</v>
      </c>
      <c r="N188" s="425">
        <f ca="1">N191+N194</f>
        <v>96640</v>
      </c>
      <c r="O188" s="425">
        <f ca="1">IF(L188&gt;0,N188*100/L188,0)</f>
        <v>21.352187361908971</v>
      </c>
      <c r="P188" s="425">
        <f ca="1">IF(M188&gt;0,N188*100/M188,0)</f>
        <v>27.130825379000562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452600</v>
      </c>
      <c r="M189" s="425">
        <f ca="1">M190+M191</f>
        <v>356200</v>
      </c>
      <c r="N189" s="425">
        <f ca="1">N190+N191</f>
        <v>96640</v>
      </c>
      <c r="O189" s="425">
        <f ca="1">IF(L189&gt;0,N189*100/L189,0)</f>
        <v>21.352187361908971</v>
      </c>
      <c r="P189" s="425">
        <f ca="1">IF(M189&gt;0,N189*100/M189,0)</f>
        <v>27.130825379000562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IFERROR(__xludf.DUMMYFUNCTION("IMPORTRANGE(""https://docs.google.com/spreadsheets/d/1-uDff_7J0KD5mKrp0Vvzr7lt3OU09vwQwhkpOPPYv2Y/edit?usp=sharing"",""งบพรบ!CU27"")"),452600)</f>
        <v>452600</v>
      </c>
      <c r="M191" s="425">
        <f ca="1">IFERROR(__xludf.DUMMYFUNCTION("IMPORTRANGE(""https://docs.google.com/spreadsheets/d/1-uDff_7J0KD5mKrp0Vvzr7lt3OU09vwQwhkpOPPYv2Y/edit?usp=sharing"",""งบพรบ!CZ27"")"),356200)</f>
        <v>356200</v>
      </c>
      <c r="N191" s="425">
        <f ca="1">IFERROR(__xludf.DUMMYFUNCTION("IMPORTRANGE(""https://docs.google.com/spreadsheets/d/1-uDff_7J0KD5mKrp0Vvzr7lt3OU09vwQwhkpOPPYv2Y/edit?usp=sharing"",""งบพรบ!DB27"")"),96640)</f>
        <v>96640</v>
      </c>
      <c r="O191" s="425">
        <f ca="1">IF(L191&gt;0,N191*100/L191,0)</f>
        <v>21.352187361908971</v>
      </c>
      <c r="P191" s="425">
        <f ca="1">IF(M191&gt;0,N191*100/M191,0)</f>
        <v>27.130825379000562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IFERROR(__xludf.DUMMYFUNCTION("IMPORTRANGE(""https://docs.google.com/spreadsheets/d/1-uDff_7J0KD5mKrp0Vvzr7lt3OU09vwQwhkpOPPYv2Y/edit?usp=sharing"",""งบพรบ!CX27"")"),0)</f>
        <v>0</v>
      </c>
      <c r="M194" s="425">
        <f ca="1">IFERROR(__xludf.DUMMYFUNCTION("IMPORTRANGE(""https://docs.google.com/spreadsheets/d/1-uDff_7J0KD5mKrp0Vvzr7lt3OU09vwQwhkpOPPYv2Y/edit?usp=sharing"",""งบพรบ!DA27"")"),0)</f>
        <v>0</v>
      </c>
      <c r="N194" s="425">
        <f ca="1">IFERROR(__xludf.DUMMYFUNCTION("IMPORTRANGE(""https://docs.google.com/spreadsheets/d/1-uDff_7J0KD5mKrp0Vvzr7lt3OU09vwQwhkpOPPYv2Y/edit?usp=sharing"",""งบพรบ!DC27"")"),0)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IFERROR(__xludf.DUMMYFUNCTION("IMPORTRANGE(""https://docs.google.com/spreadsheets/d/1eHaY18a8A9IcSdp1K8H6x8fbOy06t2VsZHhMHf-1x7Y/edit?usp=sharing"",""แผน!AB27"")"),6000)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IFERROR(__xludf.DUMMYFUNCTION("IMPORTRANGE(""https://docs.google.com/spreadsheets/d/1eHaY18a8A9IcSdp1K8H6x8fbOy06t2VsZHhMHf-1x7Y/edit?usp=sharing"",""แผน!AE27"")"),4)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31000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IFERROR(__xludf.DUMMYFUNCTION("IMPORTRANGE(""https://docs.google.com/spreadsheets/d/1eHaY18a8A9IcSdp1K8H6x8fbOy06t2VsZHhMHf-1x7Y/edit?usp=sharing"",""แผน!AG27"")"),2000)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IFERROR(__xludf.DUMMYFUNCTION("IMPORTRANGE(""https://docs.google.com/spreadsheets/d/1eHaY18a8A9IcSdp1K8H6x8fbOy06t2VsZHhMHf-1x7Y/edit?usp=sharing"",""แผน!AH27"")"),0)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IFERROR(__xludf.DUMMYFUNCTION("IMPORTRANGE(""https://docs.google.com/spreadsheets/d/1eHaY18a8A9IcSdp1K8H6x8fbOy06t2VsZHhMHf-1x7Y/edit?usp=sharing"",""แผน!AI27"")"),16000)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IFERROR(__xludf.DUMMYFUNCTION("IMPORTRANGE(""https://docs.google.com/spreadsheets/d/1eHaY18a8A9IcSdp1K8H6x8fbOy06t2VsZHhMHf-1x7Y/edit?usp=sharing"",""แผน!AJ27"")"),13000)</f>
        <v>13000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IFERROR(__xludf.DUMMYFUNCTION("IMPORTRANGE(""https://docs.google.com/spreadsheets/d/1eHaY18a8A9IcSdp1K8H6x8fbOy06t2VsZHhMHf-1x7Y/edit?usp=sharing"",""แผน!AK27"")"),2)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IFERROR(__xludf.DUMMYFUNCTION("IMPORTRANGE(""https://docs.google.com/spreadsheets/d/1eHaY18a8A9IcSdp1K8H6x8fbOy06t2VsZHhMHf-1x7Y/edit?usp=sharing"",""แผน!JX27"")"),2)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IFERROR(__xludf.DUMMYFUNCTION("IMPORTRANGE(""https://docs.google.com/spreadsheets/d/1eHaY18a8A9IcSdp1K8H6x8fbOy06t2VsZHhMHf-1x7Y/edit?usp=sharing"",""แผน!JY27"")"),1)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IFERROR(__xludf.DUMMYFUNCTION("IMPORTRANGE(""https://docs.google.com/spreadsheets/d/1eHaY18a8A9IcSdp1K8H6x8fbOy06t2VsZHhMHf-1x7Y/edit?usp=sharing"",""แผน!AM27"")"),0)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IFERROR(__xludf.DUMMYFUNCTION("IMPORTRANGE(""https://docs.google.com/spreadsheets/d/1eHaY18a8A9IcSdp1K8H6x8fbOy06t2VsZHhMHf-1x7Y/edit?usp=sharing"",""แผน!AN27"")"),0)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IFERROR(__xludf.DUMMYFUNCTION("IMPORTRANGE(""https://docs.google.com/spreadsheets/d/1eHaY18a8A9IcSdp1K8H6x8fbOy06t2VsZHhMHf-1x7Y/edit?usp=sharing"",""แผน!AO27"")"),0)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IFERROR(__xludf.DUMMYFUNCTION("IMPORTRANGE(""https://docs.google.com/spreadsheets/d/1eHaY18a8A9IcSdp1K8H6x8fbOy06t2VsZHhMHf-1x7Y/edit?usp=sharing"",""แผน!AP27"")"),0)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IFERROR(__xludf.DUMMYFUNCTION("IMPORTRANGE(""https://docs.google.com/spreadsheets/d/1eHaY18a8A9IcSdp1K8H6x8fbOy06t2VsZHhMHf-1x7Y/edit?usp=sharing"",""แผน!AP27"")"),0)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12500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IFERROR(__xludf.DUMMYFUNCTION("IMPORTRANGE(""https://docs.google.com/spreadsheets/d/1eHaY18a8A9IcSdp1K8H6x8fbOy06t2VsZHhMHf-1x7Y/edit?usp=sharing"",""แผน!AR27"")"),11000)</f>
        <v>11000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IFERROR(__xludf.DUMMYFUNCTION("IMPORTRANGE(""https://docs.google.com/spreadsheets/d/1eHaY18a8A9IcSdp1K8H6x8fbOy06t2VsZHhMHf-1x7Y/edit?usp=sharing"",""แผน!AS27"")"),1500)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IFERROR(__xludf.DUMMYFUNCTION("IMPORTRANGE(""https://docs.google.com/spreadsheets/d/1eHaY18a8A9IcSdp1K8H6x8fbOy06t2VsZHhMHf-1x7Y/edit?usp=sharing"",""แผน!AT27"")"),0)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IFERROR(__xludf.DUMMYFUNCTION("IMPORTRANGE(""https://docs.google.com/spreadsheets/d/1eHaY18a8A9IcSdp1K8H6x8fbOy06t2VsZHhMHf-1x7Y/edit?usp=sharing"",""แผน!AV27"")"),100000)</f>
        <v>100000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IFERROR(__xludf.DUMMYFUNCTION("IMPORTRANGE(""https://docs.google.com/spreadsheets/d/1eHaY18a8A9IcSdp1K8H6x8fbOy06t2VsZHhMHf-1x7Y/edit?usp=sharing"",""แผน!AV27"")"),100000)</f>
        <v>100000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IFERROR(__xludf.DUMMYFUNCTION("IMPORTRANGE(""https://docs.google.com/spreadsheets/d/1eHaY18a8A9IcSdp1K8H6x8fbOy06t2VsZHhMHf-1x7Y/edit?usp=sharing"",""แผน!AU27"")"),0)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868"/>
      <c r="B231" s="867"/>
      <c r="C231" s="678" t="s">
        <v>99</v>
      </c>
      <c r="D231" s="866"/>
      <c r="E231" s="866"/>
      <c r="F231" s="866"/>
      <c r="G231" s="865"/>
      <c r="H231" s="677" t="s">
        <v>33</v>
      </c>
      <c r="I231" s="676">
        <f ca="1">I242+I253</f>
        <v>40</v>
      </c>
      <c r="J231" s="676">
        <f>J242+J253</f>
        <v>10</v>
      </c>
      <c r="K231" s="675">
        <f ca="1">IF(I231&gt;0,J231*100/I231,0)</f>
        <v>25</v>
      </c>
      <c r="L231" s="864"/>
      <c r="M231" s="864"/>
      <c r="N231" s="864"/>
      <c r="O231" s="864"/>
      <c r="P231" s="864"/>
    </row>
    <row r="232" spans="1:16" ht="19.5" hidden="1" x14ac:dyDescent="0.3">
      <c r="A232" s="863"/>
      <c r="B232" s="860"/>
      <c r="C232" s="531" t="s">
        <v>16</v>
      </c>
      <c r="D232" s="541" t="s">
        <v>17</v>
      </c>
      <c r="E232" s="860"/>
      <c r="F232" s="860"/>
      <c r="G232" s="859"/>
      <c r="H232" s="673" t="s">
        <v>12</v>
      </c>
      <c r="I232" s="856"/>
      <c r="J232" s="856"/>
      <c r="K232" s="855"/>
      <c r="L232" s="539">
        <f ca="1">L243+L254</f>
        <v>403100</v>
      </c>
      <c r="M232" s="850"/>
      <c r="N232" s="539">
        <f>N243+N254</f>
        <v>96640</v>
      </c>
      <c r="O232" s="850"/>
      <c r="P232" s="850"/>
    </row>
    <row r="233" spans="1:16" ht="18.75" hidden="1" x14ac:dyDescent="0.25">
      <c r="A233" s="863"/>
      <c r="B233" s="861"/>
      <c r="C233" s="860"/>
      <c r="D233" s="292" t="s">
        <v>160</v>
      </c>
      <c r="E233" s="860"/>
      <c r="F233" s="860"/>
      <c r="G233" s="859"/>
      <c r="H233" s="536" t="s">
        <v>12</v>
      </c>
      <c r="I233" s="856"/>
      <c r="J233" s="856"/>
      <c r="K233" s="855"/>
      <c r="L233" s="521">
        <f ca="1">L244+L255</f>
        <v>257900</v>
      </c>
      <c r="M233" s="850"/>
      <c r="N233" s="521">
        <f>N244+N255</f>
        <v>69200</v>
      </c>
      <c r="O233" s="850"/>
      <c r="P233" s="850"/>
    </row>
    <row r="234" spans="1:16" ht="18.75" hidden="1" x14ac:dyDescent="0.25">
      <c r="A234" s="862"/>
      <c r="B234" s="861"/>
      <c r="C234" s="861"/>
      <c r="D234" s="293" t="s">
        <v>81</v>
      </c>
      <c r="E234" s="860"/>
      <c r="F234" s="860"/>
      <c r="G234" s="859"/>
      <c r="H234" s="536" t="s">
        <v>12</v>
      </c>
      <c r="I234" s="197"/>
      <c r="J234" s="197"/>
      <c r="K234" s="850"/>
      <c r="L234" s="521">
        <f ca="1">L245+L256</f>
        <v>5000</v>
      </c>
      <c r="M234" s="850"/>
      <c r="N234" s="521">
        <f>N245+N256</f>
        <v>2800</v>
      </c>
      <c r="O234" s="850"/>
      <c r="P234" s="850"/>
    </row>
    <row r="235" spans="1:16" ht="18.75" hidden="1" x14ac:dyDescent="0.25">
      <c r="A235" s="862"/>
      <c r="B235" s="861"/>
      <c r="C235" s="861"/>
      <c r="D235" s="293" t="s">
        <v>82</v>
      </c>
      <c r="E235" s="860"/>
      <c r="F235" s="860"/>
      <c r="G235" s="859"/>
      <c r="H235" s="536" t="s">
        <v>12</v>
      </c>
      <c r="I235" s="197"/>
      <c r="J235" s="197"/>
      <c r="K235" s="850"/>
      <c r="L235" s="521">
        <f ca="1">L246+L257</f>
        <v>87200</v>
      </c>
      <c r="M235" s="850"/>
      <c r="N235" s="521">
        <f>N246+N257</f>
        <v>24640</v>
      </c>
      <c r="O235" s="850"/>
      <c r="P235" s="850"/>
    </row>
    <row r="236" spans="1:16" ht="18.75" hidden="1" x14ac:dyDescent="0.25">
      <c r="A236" s="862"/>
      <c r="B236" s="861"/>
      <c r="C236" s="861"/>
      <c r="D236" s="293" t="s">
        <v>83</v>
      </c>
      <c r="E236" s="860"/>
      <c r="F236" s="860"/>
      <c r="G236" s="859"/>
      <c r="H236" s="536" t="s">
        <v>12</v>
      </c>
      <c r="I236" s="197"/>
      <c r="J236" s="197"/>
      <c r="K236" s="850"/>
      <c r="L236" s="521">
        <f ca="1">L247+L258</f>
        <v>53000</v>
      </c>
      <c r="M236" s="850"/>
      <c r="N236" s="521">
        <f>N247+N258</f>
        <v>0</v>
      </c>
      <c r="O236" s="850"/>
      <c r="P236" s="850"/>
    </row>
    <row r="237" spans="1:16" ht="19.5" hidden="1" x14ac:dyDescent="0.3">
      <c r="A237" s="854"/>
      <c r="B237" s="853"/>
      <c r="C237" s="671" t="s">
        <v>16</v>
      </c>
      <c r="D237" s="530" t="s">
        <v>36</v>
      </c>
      <c r="E237" s="858"/>
      <c r="F237" s="858"/>
      <c r="G237" s="857"/>
      <c r="H237" s="851"/>
      <c r="I237" s="856"/>
      <c r="J237" s="197"/>
      <c r="K237" s="850"/>
      <c r="L237" s="850"/>
      <c r="M237" s="850"/>
      <c r="N237" s="850"/>
      <c r="O237" s="855"/>
      <c r="P237" s="855"/>
    </row>
    <row r="238" spans="1:16" ht="18.75" hidden="1" x14ac:dyDescent="0.25">
      <c r="A238" s="854"/>
      <c r="B238" s="853"/>
      <c r="C238" s="853"/>
      <c r="D238" s="524" t="s">
        <v>102</v>
      </c>
      <c r="E238" s="852"/>
      <c r="F238" s="852"/>
      <c r="G238" s="851"/>
      <c r="H238" s="668" t="s">
        <v>33</v>
      </c>
      <c r="I238" s="199">
        <f ca="1">I249+I260</f>
        <v>40</v>
      </c>
      <c r="J238" s="199">
        <f>J249+J260</f>
        <v>10</v>
      </c>
      <c r="K238" s="521">
        <f ca="1">IF(I238&gt;0,J238*100/I238,0)</f>
        <v>25</v>
      </c>
      <c r="L238" s="850"/>
      <c r="M238" s="850"/>
      <c r="N238" s="850"/>
      <c r="O238" s="850"/>
      <c r="P238" s="850"/>
    </row>
    <row r="239" spans="1:16" ht="18.75" hidden="1" x14ac:dyDescent="0.25">
      <c r="A239" s="854"/>
      <c r="B239" s="853"/>
      <c r="C239" s="853"/>
      <c r="D239" s="670" t="s">
        <v>41</v>
      </c>
      <c r="E239" s="852"/>
      <c r="F239" s="852"/>
      <c r="G239" s="851"/>
      <c r="H239" s="851"/>
      <c r="I239" s="197"/>
      <c r="J239" s="197"/>
      <c r="K239" s="850"/>
      <c r="L239" s="850"/>
      <c r="M239" s="850"/>
      <c r="N239" s="850"/>
      <c r="O239" s="855"/>
      <c r="P239" s="855"/>
    </row>
    <row r="240" spans="1:16" ht="18.75" hidden="1" x14ac:dyDescent="0.25">
      <c r="A240" s="854"/>
      <c r="B240" s="853"/>
      <c r="C240" s="853"/>
      <c r="D240" s="853"/>
      <c r="E240" s="669" t="s">
        <v>103</v>
      </c>
      <c r="F240" s="852"/>
      <c r="G240" s="851"/>
      <c r="H240" s="668" t="s">
        <v>33</v>
      </c>
      <c r="I240" s="199">
        <f ca="1">I251+I262</f>
        <v>40</v>
      </c>
      <c r="J240" s="199">
        <f>J251+J262</f>
        <v>0</v>
      </c>
      <c r="K240" s="521">
        <f ca="1">IF(I240&gt;0,J240*100/I240,0)</f>
        <v>0</v>
      </c>
      <c r="L240" s="850"/>
      <c r="M240" s="850"/>
      <c r="N240" s="850"/>
      <c r="O240" s="850"/>
      <c r="P240" s="850"/>
    </row>
    <row r="241" spans="1:16" ht="18.75" hidden="1" x14ac:dyDescent="0.25">
      <c r="A241" s="854"/>
      <c r="B241" s="853"/>
      <c r="C241" s="853"/>
      <c r="D241" s="853"/>
      <c r="E241" s="669" t="s">
        <v>104</v>
      </c>
      <c r="F241" s="852"/>
      <c r="G241" s="851"/>
      <c r="H241" s="668" t="s">
        <v>54</v>
      </c>
      <c r="I241" s="199">
        <f ca="1">I252+I263</f>
        <v>1</v>
      </c>
      <c r="J241" s="199">
        <f>J252+J263</f>
        <v>0</v>
      </c>
      <c r="K241" s="521">
        <f ca="1">IF(I241&gt;0,J241*100/I241,0)</f>
        <v>0</v>
      </c>
      <c r="L241" s="850"/>
      <c r="M241" s="850"/>
      <c r="N241" s="850"/>
      <c r="O241" s="850"/>
      <c r="P241" s="850"/>
    </row>
    <row r="242" spans="1:16" ht="19.5" x14ac:dyDescent="0.3">
      <c r="A242" s="279"/>
      <c r="B242" s="280"/>
      <c r="C242" s="281" t="s">
        <v>178</v>
      </c>
      <c r="D242" s="282"/>
      <c r="E242" s="282"/>
      <c r="F242" s="282"/>
      <c r="G242" s="283"/>
      <c r="H242" s="284" t="s">
        <v>33</v>
      </c>
      <c r="I242" s="285">
        <f ca="1">I249</f>
        <v>40</v>
      </c>
      <c r="J242" s="285">
        <f>J249</f>
        <v>10</v>
      </c>
      <c r="K242" s="286">
        <f ca="1">IF(I242&gt;0,J242*100/I242,0)</f>
        <v>25</v>
      </c>
      <c r="L242" s="287"/>
      <c r="M242" s="287"/>
      <c r="N242" s="287"/>
      <c r="O242" s="287"/>
      <c r="P242" s="287"/>
    </row>
    <row r="243" spans="1:16" ht="19.5" x14ac:dyDescent="0.3">
      <c r="A243" s="157"/>
      <c r="B243" s="53"/>
      <c r="C243" s="158" t="s">
        <v>16</v>
      </c>
      <c r="D243" s="849" t="s">
        <v>17</v>
      </c>
      <c r="E243" s="53"/>
      <c r="F243" s="53"/>
      <c r="G243" s="55"/>
      <c r="H243" s="289" t="s">
        <v>12</v>
      </c>
      <c r="I243" s="164"/>
      <c r="J243" s="164"/>
      <c r="K243" s="165"/>
      <c r="L243" s="161">
        <f ca="1">L244+L245+L246+L247</f>
        <v>403100</v>
      </c>
      <c r="M243" s="58"/>
      <c r="N243" s="161">
        <f>N244+N245+N246+N247</f>
        <v>96640</v>
      </c>
      <c r="O243" s="161">
        <f ca="1">IF(L243&gt;0,N243*100/L243,0)</f>
        <v>23.97419995038452</v>
      </c>
      <c r="P243" s="161">
        <f>IF(M243&gt;0,N243*100/M243,0)</f>
        <v>0</v>
      </c>
    </row>
    <row r="244" spans="1:16" ht="18.75" x14ac:dyDescent="0.25">
      <c r="A244" s="157"/>
      <c r="B244" s="278"/>
      <c r="C244" s="53"/>
      <c r="D244" s="292" t="s">
        <v>160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IFERROR(__xludf.DUMMYFUNCTION("IMPORTRANGE(""https://docs.google.com/spreadsheets/d/1eHaY18a8A9IcSdp1K8H6x8fbOy06t2VsZHhMHf-1x7Y/edit?usp=sharing"",""แผน!AX27"")"),257900)</f>
        <v>257900</v>
      </c>
      <c r="M244" s="58"/>
      <c r="N244" s="848">
        <v>69200</v>
      </c>
      <c r="O244" s="58"/>
      <c r="P244" s="58"/>
    </row>
    <row r="245" spans="1:16" ht="18.75" x14ac:dyDescent="0.25">
      <c r="A245" s="274"/>
      <c r="B245" s="278"/>
      <c r="C245" s="278"/>
      <c r="D245" s="293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IFERROR(__xludf.DUMMYFUNCTION("IMPORTRANGE(""https://docs.google.com/spreadsheets/d/1eHaY18a8A9IcSdp1K8H6x8fbOy06t2VsZHhMHf-1x7Y/edit?usp=sharing"",""แผน!AY27"")"),5000)</f>
        <v>5000</v>
      </c>
      <c r="M245" s="58"/>
      <c r="N245" s="848">
        <v>2800</v>
      </c>
      <c r="O245" s="58"/>
      <c r="P245" s="58"/>
    </row>
    <row r="246" spans="1:16" ht="18.75" x14ac:dyDescent="0.25">
      <c r="A246" s="274"/>
      <c r="B246" s="278"/>
      <c r="C246" s="278"/>
      <c r="D246" s="293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IFERROR(__xludf.DUMMYFUNCTION("IMPORTRANGE(""https://docs.google.com/spreadsheets/d/1eHaY18a8A9IcSdp1K8H6x8fbOy06t2VsZHhMHf-1x7Y/edit?usp=sharing"",""แผน!AZ27"")"),87200)</f>
        <v>87200</v>
      </c>
      <c r="M246" s="58"/>
      <c r="N246" s="848">
        <v>24640</v>
      </c>
      <c r="O246" s="58"/>
      <c r="P246" s="58"/>
    </row>
    <row r="247" spans="1:16" ht="18.75" x14ac:dyDescent="0.25">
      <c r="A247" s="274"/>
      <c r="B247" s="278"/>
      <c r="C247" s="278"/>
      <c r="D247" s="293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IFERROR(__xludf.DUMMYFUNCTION("IMPORTRANGE(""https://docs.google.com/spreadsheets/d/1eHaY18a8A9IcSdp1K8H6x8fbOy06t2VsZHhMHf-1x7Y/edit?usp=sharing"",""แผน!BA27"")"),53000)</f>
        <v>53000</v>
      </c>
      <c r="M247" s="58"/>
      <c r="N247" s="848">
        <v>0</v>
      </c>
      <c r="O247" s="58"/>
      <c r="P247" s="58"/>
    </row>
    <row r="248" spans="1:16" ht="19.5" x14ac:dyDescent="0.3">
      <c r="A248" s="167"/>
      <c r="B248" s="168"/>
      <c r="C248" s="296" t="s">
        <v>16</v>
      </c>
      <c r="D248" s="847" t="s">
        <v>36</v>
      </c>
      <c r="E248" s="170"/>
      <c r="F248" s="170"/>
      <c r="G248" s="171"/>
      <c r="H248" s="172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3" t="s">
        <v>102</v>
      </c>
      <c r="E249" s="174"/>
      <c r="F249" s="174"/>
      <c r="G249" s="172"/>
      <c r="H249" s="295" t="s">
        <v>33</v>
      </c>
      <c r="I249" s="194">
        <f ca="1">IFERROR(__xludf.DUMMYFUNCTION("IMPORTRANGE(""https://docs.google.com/spreadsheets/d/1eHaY18a8A9IcSdp1K8H6x8fbOy06t2VsZHhMHf-1x7Y/edit?usp=sharing"",""แผน!BG27"")"),40)</f>
        <v>40</v>
      </c>
      <c r="J249" s="846">
        <v>10</v>
      </c>
      <c r="K249" s="61">
        <f ca="1">IF(I249&gt;0,J249*100/I249,0)</f>
        <v>25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6" t="s">
        <v>41</v>
      </c>
      <c r="E250" s="174"/>
      <c r="F250" s="174"/>
      <c r="G250" s="172"/>
      <c r="H250" s="172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7" t="s">
        <v>103</v>
      </c>
      <c r="F251" s="174"/>
      <c r="G251" s="172"/>
      <c r="H251" s="295" t="s">
        <v>33</v>
      </c>
      <c r="I251" s="194">
        <f ca="1">IFERROR(__xludf.DUMMYFUNCTION("IMPORTRANGE(""https://docs.google.com/spreadsheets/d/1eHaY18a8A9IcSdp1K8H6x8fbOy06t2VsZHhMHf-1x7Y/edit?usp=sharing"",""แผน!KH27"")"),40)</f>
        <v>40</v>
      </c>
      <c r="J251" s="846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7" t="s">
        <v>104</v>
      </c>
      <c r="F252" s="174"/>
      <c r="G252" s="172"/>
      <c r="H252" s="295" t="s">
        <v>54</v>
      </c>
      <c r="I252" s="194">
        <f ca="1">IFERROR(__xludf.DUMMYFUNCTION("IMPORTRANGE(""https://docs.google.com/spreadsheets/d/1eHaY18a8A9IcSdp1K8H6x8fbOy06t2VsZHhMHf-1x7Y/edit?usp=sharing"",""แผน!KI27"")"),1)</f>
        <v>1</v>
      </c>
      <c r="J252" s="846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292" t="s">
        <v>160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IFERROR(__xludf.DUMMYFUNCTION("IMPORTRANGE(""https://docs.google.com/spreadsheets/d/1eHaY18a8A9IcSdp1K8H6x8fbOy06t2VsZHhMHf-1x7Y/edit?usp=sharing"",""แผน!BB27"")"),0)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293" t="s">
        <v>81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IFERROR(__xludf.DUMMYFUNCTION("IMPORTRANGE(""https://docs.google.com/spreadsheets/d/1eHaY18a8A9IcSdp1K8H6x8fbOy06t2VsZHhMHf-1x7Y/edit?usp=sharing"",""แผน!BC27"")"),0)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293" t="s">
        <v>82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IFERROR(__xludf.DUMMYFUNCTION("IMPORTRANGE(""https://docs.google.com/spreadsheets/d/1eHaY18a8A9IcSdp1K8H6x8fbOy06t2VsZHhMHf-1x7Y/edit?usp=sharing"",""แผน!BD27"")"),0)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293" t="s">
        <v>83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IFERROR(__xludf.DUMMYFUNCTION("IMPORTRANGE(""https://docs.google.com/spreadsheets/d/1eHaY18a8A9IcSdp1K8H6x8fbOy06t2VsZHhMHf-1x7Y/edit?usp=sharing"",""แผน!BE27"")"),0)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IFERROR(__xludf.DUMMYFUNCTION("IMPORTRANGE(""https://docs.google.com/spreadsheets/d/1eHaY18a8A9IcSdp1K8H6x8fbOy06t2VsZHhMHf-1x7Y/edit?usp=sharing"",""แผน!BH27"")"),0)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IFERROR(__xludf.DUMMYFUNCTION("IMPORTRANGE(""https://docs.google.com/spreadsheets/d/1-uDff_7J0KD5mKrp0Vvzr7lt3OU09vwQwhkpOPPYv2Y/edit?usp=sharing"",""งบพรบ!DE27"")"),0)</f>
        <v>0</v>
      </c>
      <c r="M271" s="521">
        <f ca="1">IFERROR(__xludf.DUMMYFUNCTION("IMPORTRANGE(""https://docs.google.com/spreadsheets/d/1-uDff_7J0KD5mKrp0Vvzr7lt3OU09vwQwhkpOPPYv2Y/edit?usp=sharing"",""งบพรบ!DJ27"")"),0)</f>
        <v>0</v>
      </c>
      <c r="N271" s="521">
        <f ca="1">IFERROR(__xludf.DUMMYFUNCTION("IMPORTRANGE(""https://docs.google.com/spreadsheets/d/1-uDff_7J0KD5mKrp0Vvzr7lt3OU09vwQwhkpOPPYv2Y/edit?usp=sharing"",""งบพรบ!DL27"")"),0)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IFERROR(__xludf.DUMMYFUNCTION("IMPORTRANGE(""https://docs.google.com/spreadsheets/d/1-uDff_7J0KD5mKrp0Vvzr7lt3OU09vwQwhkpOPPYv2Y/edit?usp=sharing"",""งบพรบ!DH27"")"),0)</f>
        <v>0</v>
      </c>
      <c r="M274" s="521">
        <f ca="1">IFERROR(__xludf.DUMMYFUNCTION("IMPORTRANGE(""https://docs.google.com/spreadsheets/d/1-uDff_7J0KD5mKrp0Vvzr7lt3OU09vwQwhkpOPPYv2Y/edit?usp=sharing"",""งบพรบ!DK27"")"),0)</f>
        <v>0</v>
      </c>
      <c r="N274" s="521">
        <f ca="1">IFERROR(__xludf.DUMMYFUNCTION("IMPORTRANGE(""https://docs.google.com/spreadsheets/d/1-uDff_7J0KD5mKrp0Vvzr7lt3OU09vwQwhkpOPPYv2Y/edit?usp=sharing"",""งบพรบ!DM27"")"),0)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10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100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56120</v>
      </c>
      <c r="M282" s="577">
        <f ca="1">M283+M284</f>
        <v>44480</v>
      </c>
      <c r="N282" s="577">
        <f ca="1">N283+N284</f>
        <v>4940</v>
      </c>
      <c r="O282" s="577">
        <f ca="1">IF(L282&gt;0,N282*100/L282,0)</f>
        <v>8.8025659301496795</v>
      </c>
      <c r="P282" s="577">
        <f ca="1">IF(M282&gt;0,N282*100/M282,0)</f>
        <v>11.106115107913668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56120</v>
      </c>
      <c r="M284" s="425">
        <f ca="1">M287+M290</f>
        <v>44480</v>
      </c>
      <c r="N284" s="425">
        <f ca="1">N287+N290</f>
        <v>4940</v>
      </c>
      <c r="O284" s="425">
        <f ca="1">IF(L284&gt;0,N284*100/L284,0)</f>
        <v>8.8025659301496795</v>
      </c>
      <c r="P284" s="425">
        <f ca="1">IF(M284&gt;0,N284*100/M284,0)</f>
        <v>11.106115107913668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56120</v>
      </c>
      <c r="M285" s="425">
        <f ca="1">M286+M287</f>
        <v>44480</v>
      </c>
      <c r="N285" s="425">
        <f ca="1">N286+N287</f>
        <v>4940</v>
      </c>
      <c r="O285" s="425">
        <f ca="1">IF(L285&gt;0,N285*100/L285,0)</f>
        <v>8.8025659301496795</v>
      </c>
      <c r="P285" s="425">
        <f ca="1">IF(M285&gt;0,N285*100/M285,0)</f>
        <v>11.106115107913668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IFERROR(__xludf.DUMMYFUNCTION("IMPORTRANGE(""https://docs.google.com/spreadsheets/d/1-uDff_7J0KD5mKrp0Vvzr7lt3OU09vwQwhkpOPPYv2Y/edit?usp=sharing"",""งบพรบ!DO27"")"),56120)</f>
        <v>56120</v>
      </c>
      <c r="M287" s="425">
        <f ca="1">IFERROR(__xludf.DUMMYFUNCTION("IMPORTRANGE(""https://docs.google.com/spreadsheets/d/1-uDff_7J0KD5mKrp0Vvzr7lt3OU09vwQwhkpOPPYv2Y/edit?usp=sharing"",""งบพรบ!DT27"")"),44480)</f>
        <v>44480</v>
      </c>
      <c r="N287" s="425">
        <f ca="1">IFERROR(__xludf.DUMMYFUNCTION("IMPORTRANGE(""https://docs.google.com/spreadsheets/d/1-uDff_7J0KD5mKrp0Vvzr7lt3OU09vwQwhkpOPPYv2Y/edit?usp=sharing"",""งบพรบ!DV27"")"),4940)</f>
        <v>4940</v>
      </c>
      <c r="O287" s="425">
        <f ca="1">IF(L287&gt;0,N287*100/L287,0)</f>
        <v>8.8025659301496795</v>
      </c>
      <c r="P287" s="425">
        <f ca="1">IF(M287&gt;0,N287*100/M287,0)</f>
        <v>11.106115107913668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IFERROR(__xludf.DUMMYFUNCTION("IMPORTRANGE(""https://docs.google.com/spreadsheets/d/1-uDff_7J0KD5mKrp0Vvzr7lt3OU09vwQwhkpOPPYv2Y/edit?usp=sharing"",""งบพรบ!DR27"")"),0)</f>
        <v>0</v>
      </c>
      <c r="M290" s="425">
        <f ca="1">IFERROR(__xludf.DUMMYFUNCTION("IMPORTRANGE(""https://docs.google.com/spreadsheets/d/1-uDff_7J0KD5mKrp0Vvzr7lt3OU09vwQwhkpOPPYv2Y/edit?usp=sharing"",""งบพรบ!DU27"")"),0)</f>
        <v>0</v>
      </c>
      <c r="N290" s="425">
        <f ca="1">IFERROR(__xludf.DUMMYFUNCTION("IMPORTRANGE(""https://docs.google.com/spreadsheets/d/1-uDff_7J0KD5mKrp0Vvzr7lt3OU09vwQwhkpOPPYv2Y/edit?usp=sharing"",""งบพรบ!DW27"")"),0)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IFERROR(__xludf.DUMMYFUNCTION("IMPORTRANGE(""https://docs.google.com/spreadsheets/d/1eHaY18a8A9IcSdp1K8H6x8fbOy06t2VsZHhMHf-1x7Y/edit?usp=sharing"",""แผน!EE27"")"),100)</f>
        <v>100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IFERROR(__xludf.DUMMYFUNCTION("IMPORTRANGE(""https://docs.google.com/spreadsheets/d/1eHaY18a8A9IcSdp1K8H6x8fbOy06t2VsZHhMHf-1x7Y/edit?usp=sharing"",""แผน!ED27"")"),10)</f>
        <v>10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IFERROR(__xludf.DUMMYFUNCTION("IMPORTRANGE(""https://docs.google.com/spreadsheets/d/1eHaY18a8A9IcSdp1K8H6x8fbOy06t2VsZHhMHf-1x7Y/edit?usp=sharing"",""แผน!ED27"")"),10)</f>
        <v>10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IFERROR(__xludf.DUMMYFUNCTION("IMPORTRANGE(""https://docs.google.com/spreadsheets/d/1eHaY18a8A9IcSdp1K8H6x8fbOy06t2VsZHhMHf-1x7Y/edit?usp=sharing"",""แผน!ED27"")"),10)</f>
        <v>10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IFERROR(__xludf.DUMMYFUNCTION("IMPORTRANGE(""https://docs.google.com/spreadsheets/d/1-uDff_7J0KD5mKrp0Vvzr7lt3OU09vwQwhkpOPPYv2Y/edit?usp=sharing"",""งบพรบ!DY27"")"),0)</f>
        <v>0</v>
      </c>
      <c r="M308" s="425">
        <f ca="1">IFERROR(__xludf.DUMMYFUNCTION("IMPORTRANGE(""https://docs.google.com/spreadsheets/d/1-uDff_7J0KD5mKrp0Vvzr7lt3OU09vwQwhkpOPPYv2Y/edit?usp=sharing"",""งบพรบ!ED27"")"),0)</f>
        <v>0</v>
      </c>
      <c r="N308" s="425">
        <f ca="1">IFERROR(__xludf.DUMMYFUNCTION("IMPORTRANGE(""https://docs.google.com/spreadsheets/d/1-uDff_7J0KD5mKrp0Vvzr7lt3OU09vwQwhkpOPPYv2Y/edit?usp=sharing"",""งบพรบ!EF27"")"),0)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IFERROR(__xludf.DUMMYFUNCTION("IMPORTRANGE(""https://docs.google.com/spreadsheets/d/1-uDff_7J0KD5mKrp0Vvzr7lt3OU09vwQwhkpOPPYv2Y/edit?usp=sharing"",""งบพรบ!EB27"")"),0)</f>
        <v>0</v>
      </c>
      <c r="M311" s="425">
        <f ca="1">IFERROR(__xludf.DUMMYFUNCTION("IMPORTRANGE(""https://docs.google.com/spreadsheets/d/1-uDff_7J0KD5mKrp0Vvzr7lt3OU09vwQwhkpOPPYv2Y/edit?usp=sharing"",""งบพรบ!EE27"")"),0)</f>
        <v>0</v>
      </c>
      <c r="N311" s="425">
        <f ca="1">IFERROR(__xludf.DUMMYFUNCTION("IMPORTRANGE(""https://docs.google.com/spreadsheets/d/1-uDff_7J0KD5mKrp0Vvzr7lt3OU09vwQwhkpOPPYv2Y/edit?usp=sharing"",""งบพรบ!EG27"")"),0)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IFERROR(__xludf.DUMMYFUNCTION("IMPORTRANGE(""https://docs.google.com/spreadsheets/d/1eHaY18a8A9IcSdp1K8H6x8fbOy06t2VsZHhMHf-1x7Y/edit?usp=sharing"",""แผน!EF27"")"),0)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IFERROR(__xludf.DUMMYFUNCTION("IMPORTRANGE(""https://docs.google.com/spreadsheets/d/1eHaY18a8A9IcSdp1K8H6x8fbOy06t2VsZHhMHf-1x7Y/edit?usp=sharing"",""แผน!EG27"")"),0)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IFERROR(__xludf.DUMMYFUNCTION("IMPORTRANGE(""https://docs.google.com/spreadsheets/d/1eHaY18a8A9IcSdp1K8H6x8fbOy06t2VsZHhMHf-1x7Y/edit?usp=sharing"",""แผน!EH27"")"),0)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IFERROR(__xludf.DUMMYFUNCTION("IMPORTRANGE(""https://docs.google.com/spreadsheets/d/1eHaY18a8A9IcSdp1K8H6x8fbOy06t2VsZHhMHf-1x7Y/edit?usp=sharing"",""แผน!EI27"")"),0)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IFERROR(__xludf.DUMMYFUNCTION("IMPORTRANGE(""https://docs.google.com/spreadsheets/d/1-uDff_7J0KD5mKrp0Vvzr7lt3OU09vwQwhkpOPPYv2Y/edit?usp=sharing"",""งบพรบ!EI27"")"),0)</f>
        <v>0</v>
      </c>
      <c r="M325" s="425">
        <f ca="1">IFERROR(__xludf.DUMMYFUNCTION("IMPORTRANGE(""https://docs.google.com/spreadsheets/d/1-uDff_7J0KD5mKrp0Vvzr7lt3OU09vwQwhkpOPPYv2Y/edit?usp=sharing"",""งบพรบ!EN27"")"),0)</f>
        <v>0</v>
      </c>
      <c r="N325" s="425">
        <f ca="1">IFERROR(__xludf.DUMMYFUNCTION("IMPORTRANGE(""https://docs.google.com/spreadsheets/d/1-uDff_7J0KD5mKrp0Vvzr7lt3OU09vwQwhkpOPPYv2Y/edit?usp=sharing"",""งบพรบ!EP27"")"),0)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IFERROR(__xludf.DUMMYFUNCTION("IMPORTRANGE(""https://docs.google.com/spreadsheets/d/1-uDff_7J0KD5mKrp0Vvzr7lt3OU09vwQwhkpOPPYv2Y/edit?usp=sharing"",""งบพรบ!EL27"")"),0)</f>
        <v>0</v>
      </c>
      <c r="M328" s="425">
        <f ca="1">IFERROR(__xludf.DUMMYFUNCTION("IMPORTRANGE(""https://docs.google.com/spreadsheets/d/1-uDff_7J0KD5mKrp0Vvzr7lt3OU09vwQwhkpOPPYv2Y/edit?usp=sharing"",""งบพรบ!EO27"")"),0)</f>
        <v>0</v>
      </c>
      <c r="N328" s="425">
        <f ca="1">IFERROR(__xludf.DUMMYFUNCTION("IMPORTRANGE(""https://docs.google.com/spreadsheets/d/1-uDff_7J0KD5mKrp0Vvzr7lt3OU09vwQwhkpOPPYv2Y/edit?usp=sharing"",""งบพรบ!EQ27"")"),0)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IFERROR(__xludf.DUMMYFUNCTION("IMPORTRANGE(""https://docs.google.com/spreadsheets/d/1eHaY18a8A9IcSdp1K8H6x8fbOy06t2VsZHhMHf-1x7Y/edit?usp=sharing"",""แผน!EJ27"")"),0)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460</v>
      </c>
      <c r="J332" s="402">
        <f ca="1">J344+J347+J348+J349+J353</f>
        <v>2339</v>
      </c>
      <c r="K332" s="403">
        <f ca="1">IF(I332&gt;0,J332*100/I332,0)</f>
        <v>508.47826086956519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105000</v>
      </c>
      <c r="M333" s="577">
        <f ca="1">M334+M335</f>
        <v>83350</v>
      </c>
      <c r="N333" s="577">
        <f ca="1">N334+N335</f>
        <v>35760</v>
      </c>
      <c r="O333" s="577">
        <f ca="1">IF(L333&gt;0,N333*100/L333,0)</f>
        <v>34.057142857142857</v>
      </c>
      <c r="P333" s="577">
        <f ca="1">IF(M333&gt;0,N333*100/M333,0)</f>
        <v>42.90341931613677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105000</v>
      </c>
      <c r="M335" s="425">
        <f ca="1">M338+M341</f>
        <v>83350</v>
      </c>
      <c r="N335" s="425">
        <f ca="1">N338+N341</f>
        <v>35760</v>
      </c>
      <c r="O335" s="425">
        <f ca="1">IF(L335&gt;0,N335*100/L335,0)</f>
        <v>34.057142857142857</v>
      </c>
      <c r="P335" s="425">
        <f ca="1">IF(M335&gt;0,N335*100/M335,0)</f>
        <v>42.90341931613677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105000</v>
      </c>
      <c r="M336" s="425">
        <f ca="1">M337+M338</f>
        <v>83350</v>
      </c>
      <c r="N336" s="425">
        <f ca="1">N337+N338</f>
        <v>35760</v>
      </c>
      <c r="O336" s="425">
        <f ca="1">IF(L336&gt;0,N336*100/L336,0)</f>
        <v>34.057142857142857</v>
      </c>
      <c r="P336" s="425">
        <f ca="1">IF(M336&gt;0,N336*100/M336,0)</f>
        <v>42.90341931613677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IFERROR(__xludf.DUMMYFUNCTION("IMPORTRANGE(""https://docs.google.com/spreadsheets/d/1-uDff_7J0KD5mKrp0Vvzr7lt3OU09vwQwhkpOPPYv2Y/edit?usp=sharing"",""งบพรบ!ES27"")"),105000)</f>
        <v>105000</v>
      </c>
      <c r="M338" s="425">
        <f ca="1">IFERROR(__xludf.DUMMYFUNCTION("IMPORTRANGE(""https://docs.google.com/spreadsheets/d/1-uDff_7J0KD5mKrp0Vvzr7lt3OU09vwQwhkpOPPYv2Y/edit?usp=sharing"",""งบพรบ!EX27"")"),83350)</f>
        <v>83350</v>
      </c>
      <c r="N338" s="425">
        <f ca="1">IFERROR(__xludf.DUMMYFUNCTION("IMPORTRANGE(""https://docs.google.com/spreadsheets/d/1-uDff_7J0KD5mKrp0Vvzr7lt3OU09vwQwhkpOPPYv2Y/edit?usp=sharing"",""งบพรบ!EZ27"")"),35760)</f>
        <v>35760</v>
      </c>
      <c r="O338" s="425">
        <f ca="1">IF(L338&gt;0,N338*100/L338,0)</f>
        <v>34.057142857142857</v>
      </c>
      <c r="P338" s="425">
        <f ca="1">IF(M338&gt;0,N338*100/M338,0)</f>
        <v>42.90341931613677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IFERROR(__xludf.DUMMYFUNCTION("IMPORTRANGE(""https://docs.google.com/spreadsheets/d/1-uDff_7J0KD5mKrp0Vvzr7lt3OU09vwQwhkpOPPYv2Y/edit?usp=sharing"",""งบพรบ!EV27"")"),0)</f>
        <v>0</v>
      </c>
      <c r="M341" s="425">
        <f ca="1">IFERROR(__xludf.DUMMYFUNCTION("IMPORTRANGE(""https://docs.google.com/spreadsheets/d/1-uDff_7J0KD5mKrp0Vvzr7lt3OU09vwQwhkpOPPYv2Y/edit?usp=sharing"",""งบพรบ!EY27"")"),0)</f>
        <v>0</v>
      </c>
      <c r="N341" s="425">
        <f ca="1">IFERROR(__xludf.DUMMYFUNCTION("IMPORTRANGE(""https://docs.google.com/spreadsheets/d/1-uDff_7J0KD5mKrp0Vvzr7lt3OU09vwQwhkpOPPYv2Y/edit?usp=sharing"",""งบพรบ!FA27"")"),0)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222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IFERROR(__xludf.DUMMYFUNCTION("IMPORTRANGE(""https://docs.google.com/spreadsheets/d/1eHaY18a8A9IcSdp1K8H6x8fbOy06t2VsZHhMHf-1x7Y/edit?usp=sharing"",""แผน!EK27"")"),460)</f>
        <v>460</v>
      </c>
      <c r="J344" s="424">
        <f ca="1">IFERROR(__xludf.DUMMYFUNCTION("IMPORTRANGE(""https://docs.google.com/spreadsheets/d/1awYsYK3VOup2i3Pq_Yjnu8DRu_mYwSBnCR2QPthd0rU/edit?usp=sharing"",""ศูนย์ยกเว้นโฉนด!D27"")"),140)</f>
        <v>140</v>
      </c>
      <c r="K344" s="425">
        <f ca="1">IF(I344&gt;0,J344*100/I344,0)</f>
        <v>30.434782608695652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IFERROR(__xludf.DUMMYFUNCTION("IMPORTRANGE(""https://docs.google.com/spreadsheets/d/1eHaY18a8A9IcSdp1K8H6x8fbOy06t2VsZHhMHf-1x7Y/edit?usp=sharing"",""แผน!EL27"")"),4)</f>
        <v>4</v>
      </c>
      <c r="J346" s="424">
        <f ca="1">IFERROR(__xludf.DUMMYFUNCTION("IMPORTRANGE(""https://docs.google.com/spreadsheets/d/1awYsYK3VOup2i3Pq_Yjnu8DRu_mYwSBnCR2QPthd0rU/edit?usp=sharing"",""ศูนย์รวม!E27"")"),0)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IFERROR(__xludf.DUMMYFUNCTION("IMPORTRANGE(""https://docs.google.com/spreadsheets/d/1awYsYK3VOup2i3Pq_Yjnu8DRu_mYwSBnCR2QPthd0rU/edit?usp=sharing"",""ศูนย์ยกเว้นโฉนด!F27"")"),0)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IFERROR(__xludf.DUMMYFUNCTION("IMPORTRANGE(""https://docs.google.com/spreadsheets/d/1awYsYK3VOup2i3Pq_Yjnu8DRu_mYwSBnCR2QPthd0rU/edit?usp=sharing"",""ศูนย์ยกเว้นโฉนด!G27"")"),82)</f>
        <v>82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IFERROR(__xludf.DUMMYFUNCTION("IMPORTRANGE(""https://docs.google.com/spreadsheets/d/1awYsYK3VOup2i3Pq_Yjnu8DRu_mYwSBnCR2QPthd0rU/edit?usp=sharing"",""ศูนย์ยกเว้นโฉนด!H27"")"),0)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2156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IFERROR(__xludf.DUMMYFUNCTION("IMPORTRANGE(""https://docs.google.com/spreadsheets/d/1awYsYK3VOup2i3Pq_Yjnu8DRu_mYwSBnCR2QPthd0rU/edit?usp=sharing"",""โฉนดM3!G27"")"),39)</f>
        <v>39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IFERROR(__xludf.DUMMYFUNCTION("IMPORTRANGE(""https://docs.google.com/spreadsheets/d/1awYsYK3VOup2i3Pq_Yjnu8DRu_mYwSBnCR2QPthd0rU/edit?usp=sharing"",""โฉนดM3!H27"")"),2117)</f>
        <v>2117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243965</v>
      </c>
      <c r="M356" s="577">
        <f ca="1">M357+M358</f>
        <v>203365</v>
      </c>
      <c r="N356" s="577">
        <f ca="1">N357+N358</f>
        <v>48500</v>
      </c>
      <c r="O356" s="577">
        <f ca="1">IF(L356&gt;0,N356*100/L356,0)</f>
        <v>19.879900805443405</v>
      </c>
      <c r="P356" s="577">
        <f ca="1">IF(M356&gt;0,N356*100/M356,0)</f>
        <v>23.848744867602587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243965</v>
      </c>
      <c r="M358" s="425">
        <f ca="1">M361+M364</f>
        <v>203365</v>
      </c>
      <c r="N358" s="425">
        <f ca="1">N361+N364</f>
        <v>48500</v>
      </c>
      <c r="O358" s="425">
        <f ca="1">IF(L358&gt;0,N358*100/L358,0)</f>
        <v>19.879900805443405</v>
      </c>
      <c r="P358" s="425">
        <f ca="1">IF(M358&gt;0,N358*100/M358,0)</f>
        <v>23.848744867602587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243965</v>
      </c>
      <c r="M359" s="425">
        <f ca="1">M360+M361</f>
        <v>203365</v>
      </c>
      <c r="N359" s="425">
        <f ca="1">N360+N361</f>
        <v>48500</v>
      </c>
      <c r="O359" s="425">
        <f ca="1">IF(L359&gt;0,N359*100/L359,0)</f>
        <v>19.879900805443405</v>
      </c>
      <c r="P359" s="425">
        <f ca="1">IF(M359&gt;0,N359*100/M359,0)</f>
        <v>23.848744867602587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IFERROR(__xludf.DUMMYFUNCTION("IMPORTRANGE(""https://docs.google.com/spreadsheets/d/1-uDff_7J0KD5mKrp0Vvzr7lt3OU09vwQwhkpOPPYv2Y/edit?usp=sharing"",""งบพรบ!FC27"")"),243965)</f>
        <v>243965</v>
      </c>
      <c r="M361" s="425">
        <f ca="1">IFERROR(__xludf.DUMMYFUNCTION("IMPORTRANGE(""https://docs.google.com/spreadsheets/d/1-uDff_7J0KD5mKrp0Vvzr7lt3OU09vwQwhkpOPPYv2Y/edit?usp=sharing"",""งบพรบ!FH27"")"),203365)</f>
        <v>203365</v>
      </c>
      <c r="N361" s="425">
        <f ca="1">IFERROR(__xludf.DUMMYFUNCTION("IMPORTRANGE(""https://docs.google.com/spreadsheets/d/1-uDff_7J0KD5mKrp0Vvzr7lt3OU09vwQwhkpOPPYv2Y/edit?usp=sharing"",""งบพรบ!FJ27"")"),48500)</f>
        <v>48500</v>
      </c>
      <c r="O361" s="425">
        <f ca="1">IF(L361&gt;0,N361*100/L361,0)</f>
        <v>19.879900805443405</v>
      </c>
      <c r="P361" s="425">
        <f ca="1">IF(M361&gt;0,N361*100/M361,0)</f>
        <v>23.848744867602587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IFERROR(__xludf.DUMMYFUNCTION("IMPORTRANGE(""https://docs.google.com/spreadsheets/d/1-uDff_7J0KD5mKrp0Vvzr7lt3OU09vwQwhkpOPPYv2Y/edit?usp=sharing"",""งบพรบ!FF27"")"),0)</f>
        <v>0</v>
      </c>
      <c r="M364" s="425">
        <f ca="1">IFERROR(__xludf.DUMMYFUNCTION("IMPORTRANGE(""https://docs.google.com/spreadsheets/d/1-uDff_7J0KD5mKrp0Vvzr7lt3OU09vwQwhkpOPPYv2Y/edit?usp=sharing"",""งบพรบ!FI27"")"),0)</f>
        <v>0</v>
      </c>
      <c r="N364" s="425">
        <f ca="1">IFERROR(__xludf.DUMMYFUNCTION("IMPORTRANGE(""https://docs.google.com/spreadsheets/d/1-uDff_7J0KD5mKrp0Vvzr7lt3OU09vwQwhkpOPPYv2Y/edit?usp=sharing"",""งบพรบ!FK27"")"),0)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69</v>
      </c>
      <c r="J365" s="438">
        <f ca="1">J371</f>
        <v>8</v>
      </c>
      <c r="K365" s="439">
        <f ca="1">IF(I365&gt;0,J365*100/I365,0)</f>
        <v>11.594202898550725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IFERROR(__xludf.DUMMYFUNCTION("IMPORTRANGE(""https://docs.google.com/spreadsheets/d/1tdoBKaGub7dwA3U6UFTqxio9LNnvDCQjHKmttSEBsFQ/edit?usp=sharing"",""จัดที่ดิน!AB27"")"),2)</f>
        <v>2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IFERROR(__xludf.DUMMYFUNCTION("IMPORTRANGE(""https://docs.google.com/spreadsheets/d/1eHaY18a8A9IcSdp1K8H6x8fbOy06t2VsZHhMHf-1x7Y/edit?usp=sharing"",""แผน!EW27"")"),730)</f>
        <v>730</v>
      </c>
      <c r="J368" s="565">
        <f ca="1">IFERROR(__xludf.DUMMYFUNCTION("IMPORTRANGE(""https://docs.google.com/spreadsheets/d/1tdoBKaGub7dwA3U6UFTqxio9LNnvDCQjHKmttSEBsFQ/edit?usp=sharing"",""จัดที่ดิน!AC27"")"),9.05)</f>
        <v>9.0500000000000007</v>
      </c>
      <c r="K368" s="425">
        <f ca="1">IF(I368&gt;0,J368*100/I368,0)</f>
        <v>1.2397260273972603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IFERROR(__xludf.DUMMYFUNCTION("IMPORTRANGE(""https://docs.google.com/spreadsheets/d/1eHaY18a8A9IcSdp1K8H6x8fbOy06t2VsZHhMHf-1x7Y/edit?usp=sharing"",""แผน!EX27"")"),110)</f>
        <v>110</v>
      </c>
      <c r="J369" s="424">
        <f ca="1">IFERROR(__xludf.DUMMYFUNCTION("IMPORTRANGE(""https://docs.google.com/spreadsheets/d/1tdoBKaGub7dwA3U6UFTqxio9LNnvDCQjHKmttSEBsFQ/edit?usp=sharing"",""จัดที่ดิน!AD27"")"),9)</f>
        <v>9</v>
      </c>
      <c r="K369" s="425">
        <f ca="1">IF(I369&gt;0,J369*100/I369,0)</f>
        <v>8.1818181818181817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IFERROR(__xludf.DUMMYFUNCTION("IMPORTRANGE(""https://docs.google.com/spreadsheets/d/1tdoBKaGub7dwA3U6UFTqxio9LNnvDCQjHKmttSEBsFQ/edit?usp=sharing"",""จัดที่ดิน!AE27"")"),56.46)</f>
        <v>56.46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IFERROR(__xludf.DUMMYFUNCTION("IMPORTRANGE(""https://docs.google.com/spreadsheets/d/1eHaY18a8A9IcSdp1K8H6x8fbOy06t2VsZHhMHf-1x7Y/edit?usp=sharing"",""แผน!EY27"")"),69)</f>
        <v>69</v>
      </c>
      <c r="J371" s="424">
        <f ca="1">IFERROR(__xludf.DUMMYFUNCTION("IMPORTRANGE(""https://docs.google.com/spreadsheets/d/1tdoBKaGub7dwA3U6UFTqxio9LNnvDCQjHKmttSEBsFQ/edit?usp=sharing"",""จัดที่ดิน!AF27"")"),8)</f>
        <v>8</v>
      </c>
      <c r="K371" s="425">
        <f ca="1">IF(I371&gt;0,J371*100/I371,0)</f>
        <v>11.594202898550725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IFERROR(__xludf.DUMMYFUNCTION("IMPORTRANGE(""https://docs.google.com/spreadsheets/d/1tdoBKaGub7dwA3U6UFTqxio9LNnvDCQjHKmttSEBsFQ/edit?usp=sharing"",""จัดที่ดิน!AG27"")"),50.08)</f>
        <v>50.08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IFERROR(__xludf.DUMMYFUNCTION("IMPORTRANGE(""https://docs.google.com/spreadsheets/d/1-uDff_7J0KD5mKrp0Vvzr7lt3OU09vwQwhkpOPPYv2Y/edit?usp=sharing"",""งบพรบ!FM27"")"),0)</f>
        <v>0</v>
      </c>
      <c r="M382" s="521">
        <f ca="1">IFERROR(__xludf.DUMMYFUNCTION("IMPORTRANGE(""https://docs.google.com/spreadsheets/d/1-uDff_7J0KD5mKrp0Vvzr7lt3OU09vwQwhkpOPPYv2Y/edit?usp=sharing"",""งบพรบ!FR27"")"),0)</f>
        <v>0</v>
      </c>
      <c r="N382" s="521">
        <f ca="1">IFERROR(__xludf.DUMMYFUNCTION("IMPORTRANGE(""https://docs.google.com/spreadsheets/d/1-uDff_7J0KD5mKrp0Vvzr7lt3OU09vwQwhkpOPPYv2Y/edit?usp=sharing"",""งบพรบ!FT27"")"),0)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IFERROR(__xludf.DUMMYFUNCTION("IMPORTRANGE(""https://docs.google.com/spreadsheets/d/1-uDff_7J0KD5mKrp0Vvzr7lt3OU09vwQwhkpOPPYv2Y/edit?usp=sharing"",""งบพรบ!FP27"")"),0)</f>
        <v>0</v>
      </c>
      <c r="M385" s="521">
        <f ca="1">IFERROR(__xludf.DUMMYFUNCTION("IMPORTRANGE(""https://docs.google.com/spreadsheets/d/1-uDff_7J0KD5mKrp0Vvzr7lt3OU09vwQwhkpOPPYv2Y/edit?usp=sharing"",""งบพรบ!FS27"")"),0)</f>
        <v>0</v>
      </c>
      <c r="N385" s="521">
        <f ca="1">IFERROR(__xludf.DUMMYFUNCTION("IMPORTRANGE(""https://docs.google.com/spreadsheets/d/1-uDff_7J0KD5mKrp0Vvzr7lt3OU09vwQwhkpOPPYv2Y/edit?usp=sharing"",""งบพรบ!FU27"")"),0)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EE9B-0AAE-4C3C-B202-9AA9DC751F33}">
  <sheetPr>
    <outlinePr summaryBelow="0" summaryRight="0"/>
  </sheetPr>
  <dimension ref="A1:P391"/>
  <sheetViews>
    <sheetView tabSelected="1" view="pageBreakPreview" zoomScale="60" zoomScaleNormal="70" workbookViewId="0">
      <pane xSplit="8" ySplit="6" topLeftCell="I7" activePane="bottomRight" state="frozen"/>
      <selection activeCell="U19" sqref="U19"/>
      <selection pane="topRight" activeCell="U19" sqref="U19"/>
      <selection pane="bottomLeft" activeCell="U19" sqref="U19"/>
      <selection pane="bottomRight" activeCell="U21" sqref="U2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" bestFit="1" customWidth="1"/>
    <col min="11" max="11" width="10.8554687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180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1947605</v>
      </c>
      <c r="M18" s="704">
        <f ca="1">M19+M20</f>
        <v>1799675</v>
      </c>
      <c r="N18" s="704">
        <f ca="1">N19+N20</f>
        <v>604320.6</v>
      </c>
      <c r="O18" s="704">
        <f ca="1">IF(L18&gt;0,N18*100/L18,0)</f>
        <v>31.028909866220307</v>
      </c>
      <c r="P18" s="704">
        <f ca="1">IF(M18&gt;0,N18*100/M18,0)</f>
        <v>33.579429619236805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1947605</v>
      </c>
      <c r="M20" s="817">
        <f ca="1">M23+M26</f>
        <v>1799675</v>
      </c>
      <c r="N20" s="817">
        <f ca="1">N23+N26</f>
        <v>604320.6</v>
      </c>
      <c r="O20" s="817">
        <f ca="1">IF(L20&gt;0,N20*100/L20,0)</f>
        <v>31.028909866220307</v>
      </c>
      <c r="P20" s="817">
        <f ca="1">IF(M20&gt;0,N20*100/M20,0)</f>
        <v>33.579429619236805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1947605</v>
      </c>
      <c r="M21" s="425">
        <f ca="1">M22+M23</f>
        <v>1799675</v>
      </c>
      <c r="N21" s="425">
        <f ca="1">N22+N23</f>
        <v>604320.6</v>
      </c>
      <c r="O21" s="425">
        <f ca="1">IF(L21&gt;0,N21*100/L21,0)</f>
        <v>31.028909866220307</v>
      </c>
      <c r="P21" s="425">
        <f ca="1">IF(M21&gt;0,N21*100/M21,0)</f>
        <v>33.579429619236805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1947605</v>
      </c>
      <c r="M23" s="425">
        <f ca="1">M49+M64+M77+M99+M130+M144+M162+M191+M178+M271+M287+M308+M325+M338+M361+M382</f>
        <v>1799675</v>
      </c>
      <c r="N23" s="425">
        <f ca="1">N49+N64+N77+N99+N130+N144+N162+N191+N178+N271+N287+N308+N325+N338+N361+N382</f>
        <v>604320.6</v>
      </c>
      <c r="O23" s="425">
        <f ca="1">IF(L23&gt;0,N23*100/L23,0)</f>
        <v>31.028909866220307</v>
      </c>
      <c r="P23" s="425">
        <f ca="1">IF(M23&gt;0,N23*100/M23,0)</f>
        <v>33.579429619236805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1947605</v>
      </c>
      <c r="M40" s="809">
        <f ca="1">M44+M59+M72+M94+M125+M139+M157+M173+M186+M266+M282+M303+M320+M333+M356</f>
        <v>1799675</v>
      </c>
      <c r="N40" s="809">
        <f ca="1">N44+N59+N72+N94+N125+N139+N157+N173+N186+N266+N282+N303+N320+N333+N356</f>
        <v>604320.6</v>
      </c>
      <c r="O40" s="809">
        <f ca="1">IF(L40&gt;0,N40*100/L40,0)</f>
        <v>31.028909866220307</v>
      </c>
      <c r="P40" s="809">
        <f ca="1">IF(M40&gt;0,N40*100/M40,0)</f>
        <v>33.579429619236805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372970</v>
      </c>
      <c r="M44" s="794">
        <f ca="1">M45+M46</f>
        <v>384040</v>
      </c>
      <c r="N44" s="794">
        <f ca="1">N45+N46</f>
        <v>168215.16</v>
      </c>
      <c r="O44" s="794">
        <f ca="1">IF(L44&gt;0,N44*100/L44,0)</f>
        <v>45.101525591870661</v>
      </c>
      <c r="P44" s="794">
        <f ca="1">IF(M44&gt;0,N44*100/M44,0)</f>
        <v>43.801468597021142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372970</v>
      </c>
      <c r="M46" s="783">
        <f ca="1">M49+M52</f>
        <v>384040</v>
      </c>
      <c r="N46" s="783">
        <f ca="1">N49+N52</f>
        <v>168215.16</v>
      </c>
      <c r="O46" s="783">
        <f ca="1">IF(L46&gt;0,N46*100/L46,0)</f>
        <v>45.101525591870661</v>
      </c>
      <c r="P46" s="783">
        <f ca="1">IF(M46&gt;0,N46*100/M46,0)</f>
        <v>43.801468597021142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372970</v>
      </c>
      <c r="M47" s="425">
        <f ca="1">M48+M49</f>
        <v>384040</v>
      </c>
      <c r="N47" s="425">
        <f ca="1">N48+N49</f>
        <v>168215.16</v>
      </c>
      <c r="O47" s="425">
        <f ca="1">IF(L47&gt;0,N47*100/L47,0)</f>
        <v>45.101525591870661</v>
      </c>
      <c r="P47" s="425">
        <f ca="1">IF(M47&gt;0,N47*100/M47,0)</f>
        <v>43.801468597021142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IFERROR(__xludf.DUMMYFUNCTION("IMPORTRANGE(""https://docs.google.com/spreadsheets/d/1-uDff_7J0KD5mKrp0Vvzr7lt3OU09vwQwhkpOPPYv2Y/edit?usp=sharing"",""งบพรบ!P28"")"),372970)</f>
        <v>372970</v>
      </c>
      <c r="M49" s="425">
        <f ca="1">IFERROR(__xludf.DUMMYFUNCTION("IMPORTRANGE(""https://docs.google.com/spreadsheets/d/1-uDff_7J0KD5mKrp0Vvzr7lt3OU09vwQwhkpOPPYv2Y/edit?usp=sharing"",""งบพรบ!V28"")"),384040)</f>
        <v>384040</v>
      </c>
      <c r="N49" s="425">
        <f ca="1">IFERROR(__xludf.DUMMYFUNCTION("IMPORTRANGE(""https://docs.google.com/spreadsheets/d/1-uDff_7J0KD5mKrp0Vvzr7lt3OU09vwQwhkpOPPYv2Y/edit?usp=sharing"",""งบพรบ!Y28"")"),168215.16)</f>
        <v>168215.16</v>
      </c>
      <c r="O49" s="425">
        <f ca="1">IF(L49&gt;0,N49*100/L49,0)</f>
        <v>45.101525591870661</v>
      </c>
      <c r="P49" s="425">
        <f ca="1">IF(M49&gt;0,N49*100/M49,0)</f>
        <v>43.801468597021142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IFERROR(__xludf.DUMMYFUNCTION("IMPORTRANGE(""https://docs.google.com/spreadsheets/d/1-uDff_7J0KD5mKrp0Vvzr7lt3OU09vwQwhkpOPPYv2Y/edit?usp=sharing"",""งบพรบ!S28"")"),0)</f>
        <v>0</v>
      </c>
      <c r="M52" s="425">
        <f ca="1">IFERROR(__xludf.DUMMYFUNCTION("IMPORTRANGE(""https://docs.google.com/spreadsheets/d/1-uDff_7J0KD5mKrp0Vvzr7lt3OU09vwQwhkpOPPYv2Y/edit?usp=sharing"",""งบพรบ!W28"")"),0)</f>
        <v>0</v>
      </c>
      <c r="N52" s="425">
        <f ca="1">IFERROR(__xludf.DUMMYFUNCTION("IMPORTRANGE(""https://docs.google.com/spreadsheets/d/1-uDff_7J0KD5mKrp0Vvzr7lt3OU09vwQwhkpOPPYv2Y/edit?usp=sharing"",""งบพรบ!Z28"")"),0)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510600</v>
      </c>
      <c r="M59" s="763">
        <f ca="1">M60+M61</f>
        <v>385050</v>
      </c>
      <c r="N59" s="763">
        <f ca="1">N60+N61</f>
        <v>135346.44</v>
      </c>
      <c r="O59" s="763">
        <f ca="1">IF(L59&gt;0,N59*100/L59,0)</f>
        <v>26.507332549941246</v>
      </c>
      <c r="P59" s="763">
        <f ca="1">IF(M59&gt;0,N59*100/M59,0)</f>
        <v>35.150354499415663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510600</v>
      </c>
      <c r="M61" s="752">
        <f ca="1">M64+M67</f>
        <v>385050</v>
      </c>
      <c r="N61" s="752">
        <f ca="1">N64+N67</f>
        <v>135346.44</v>
      </c>
      <c r="O61" s="752">
        <f ca="1">IF(L61&gt;0,N61*100/L61,0)</f>
        <v>26.507332549941246</v>
      </c>
      <c r="P61" s="752">
        <f ca="1">IF(M61&gt;0,N61*100/M61,0)</f>
        <v>35.150354499415663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510600</v>
      </c>
      <c r="M62" s="425">
        <f ca="1">M63+M64</f>
        <v>385050</v>
      </c>
      <c r="N62" s="425">
        <f ca="1">N63+N64</f>
        <v>135346.44</v>
      </c>
      <c r="O62" s="425">
        <f ca="1">IF(L62&gt;0,N62*100/L62,0)</f>
        <v>26.507332549941246</v>
      </c>
      <c r="P62" s="425">
        <f ca="1">IF(M62&gt;0,N62*100/M62,0)</f>
        <v>35.150354499415663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IFERROR(__xludf.DUMMYFUNCTION("IMPORTRANGE(""https://docs.google.com/spreadsheets/d/1-uDff_7J0KD5mKrp0Vvzr7lt3OU09vwQwhkpOPPYv2Y/edit?usp=sharing"",""งบพรบ!AC28"")"),510600)</f>
        <v>510600</v>
      </c>
      <c r="M64" s="425">
        <f ca="1">IFERROR(__xludf.DUMMYFUNCTION("IMPORTRANGE(""https://docs.google.com/spreadsheets/d/1-uDff_7J0KD5mKrp0Vvzr7lt3OU09vwQwhkpOPPYv2Y/edit?usp=sharing"",""งบพรบ!AH28"")"),385050)</f>
        <v>385050</v>
      </c>
      <c r="N64" s="425">
        <f ca="1">IFERROR(__xludf.DUMMYFUNCTION("IMPORTRANGE(""https://docs.google.com/spreadsheets/d/1-uDff_7J0KD5mKrp0Vvzr7lt3OU09vwQwhkpOPPYv2Y/edit?usp=sharing"",""งบพรบ!AJ28"")"),135346.44)</f>
        <v>135346.44</v>
      </c>
      <c r="O64" s="425">
        <f ca="1">IF(L64&gt;0,N64*100/L64,0)</f>
        <v>26.507332549941246</v>
      </c>
      <c r="P64" s="425">
        <f ca="1">IF(M64&gt;0,N64*100/M64,0)</f>
        <v>35.150354499415663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IFERROR(__xludf.DUMMYFUNCTION("IMPORTRANGE(""https://docs.google.com/spreadsheets/d/1-uDff_7J0KD5mKrp0Vvzr7lt3OU09vwQwhkpOPPYv2Y/edit?usp=sharing"",""งบพรบ!AF28"")"),0)</f>
        <v>0</v>
      </c>
      <c r="M67" s="747">
        <f ca="1">IFERROR(__xludf.DUMMYFUNCTION("IMPORTRANGE(""https://docs.google.com/spreadsheets/d/1-uDff_7J0KD5mKrp0Vvzr7lt3OU09vwQwhkpOPPYv2Y/edit?usp=sharing"",""งบพรบ!AI28"")"),0)</f>
        <v>0</v>
      </c>
      <c r="N67" s="747">
        <f ca="1">IFERROR(__xludf.DUMMYFUNCTION("IMPORTRANGE(""https://docs.google.com/spreadsheets/d/1-uDff_7J0KD5mKrp0Vvzr7lt3OU09vwQwhkpOPPYv2Y/edit?usp=sharing"",""งบพรบ!AK28"")"),0)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IFERROR(__xludf.DUMMYFUNCTION("IMPORTRANGE(""https://docs.google.com/spreadsheets/d/1-uDff_7J0KD5mKrp0Vvzr7lt3OU09vwQwhkpOPPYv2Y/edit?usp=sharing"",""งบพรบ!AM28"")"),0)</f>
        <v>0</v>
      </c>
      <c r="M77" s="425">
        <f ca="1">IFERROR(__xludf.DUMMYFUNCTION("IMPORTRANGE(""https://docs.google.com/spreadsheets/d/1-uDff_7J0KD5mKrp0Vvzr7lt3OU09vwQwhkpOPPYv2Y/edit?usp=sharing"",""งบพรบ!AR28"")"),0)</f>
        <v>0</v>
      </c>
      <c r="N77" s="425">
        <f ca="1">IFERROR(__xludf.DUMMYFUNCTION("IMPORTRANGE(""https://docs.google.com/spreadsheets/d/1-uDff_7J0KD5mKrp0Vvzr7lt3OU09vwQwhkpOPPYv2Y/edit?usp=sharing"",""งบพรบ!AT28"")"),0)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IFERROR(__xludf.DUMMYFUNCTION("IMPORTRANGE(""https://docs.google.com/spreadsheets/d/1-uDff_7J0KD5mKrp0Vvzr7lt3OU09vwQwhkpOPPYv2Y/edit?usp=sharing"",""งบพรบ!AP28"")"),0)</f>
        <v>0</v>
      </c>
      <c r="M80" s="425">
        <f ca="1">IFERROR(__xludf.DUMMYFUNCTION("IMPORTRANGE(""https://docs.google.com/spreadsheets/d/1-uDff_7J0KD5mKrp0Vvzr7lt3OU09vwQwhkpOPPYv2Y/edit?usp=sharing"",""งบพรบ!AS28"")"),0)</f>
        <v>0</v>
      </c>
      <c r="N80" s="425">
        <f ca="1">IFERROR(__xludf.DUMMYFUNCTION("IMPORTRANGE(""https://docs.google.com/spreadsheets/d/1-uDff_7J0KD5mKrp0Vvzr7lt3OU09vwQwhkpOPPYv2Y/edit?usp=sharing"",""งบพรบ!AU28"")"),0)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IFERROR(__xludf.DUMMYFUNCTION("IMPORTRANGE(""https://docs.google.com/spreadsheets/d/1eHaY18a8A9IcSdp1K8H6x8fbOy06t2VsZHhMHf-1x7Y/edit?usp=sharing"",""แผน!H28"")"),0)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IFERROR(__xludf.DUMMYFUNCTION("IMPORTRANGE(""https://docs.google.com/spreadsheets/d/1eHaY18a8A9IcSdp1K8H6x8fbOy06t2VsZHhMHf-1x7Y/edit?usp=sharing"",""แผน!I28"")"),0)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IFERROR(__xludf.DUMMYFUNCTION("IMPORTRANGE(""https://docs.google.com/spreadsheets/d/1eHaY18a8A9IcSdp1K8H6x8fbOy06t2VsZHhMHf-1x7Y/edit?usp=sharing"",""แผน!F28"")"),0)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IFERROR(__xludf.DUMMYFUNCTION("IMPORTRANGE(""https://docs.google.com/spreadsheets/d/1eHaY18a8A9IcSdp1K8H6x8fbOy06t2VsZHhMHf-1x7Y/edit?usp=sharing"",""แผน!G28"")"),0)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IFERROR(__xludf.DUMMYFUNCTION("IMPORTRANGE(""https://docs.google.com/spreadsheets/d/1eHaY18a8A9IcSdp1K8H6x8fbOy06t2VsZHhMHf-1x7Y/edit?usp=sharing"",""แผน!D28"")"),0)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IFERROR(__xludf.DUMMYFUNCTION("IMPORTRANGE(""https://docs.google.com/spreadsheets/d/1eHaY18a8A9IcSdp1K8H6x8fbOy06t2VsZHhMHf-1x7Y/edit?usp=sharing"",""แผน!E28"")"),0)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IFERROR(__xludf.DUMMYFUNCTION("IMPORTRANGE(""https://docs.google.com/spreadsheets/d/1eHaY18a8A9IcSdp1K8H6x8fbOy06t2VsZHhMHf-1x7Y/edit?usp=sharing"",""แผน!J28"")"),0)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IFERROR(__xludf.DUMMYFUNCTION("IMPORTRANGE(""https://docs.google.com/spreadsheets/d/1-uDff_7J0KD5mKrp0Vvzr7lt3OU09vwQwhkpOPPYv2Y/edit?usp=sharing"",""งบพรบ!AW28"")"),0)</f>
        <v>0</v>
      </c>
      <c r="M99" s="425">
        <f ca="1">IFERROR(__xludf.DUMMYFUNCTION("IMPORTRANGE(""https://docs.google.com/spreadsheets/d/1-uDff_7J0KD5mKrp0Vvzr7lt3OU09vwQwhkpOPPYv2Y/edit?usp=sharing"",""งบพรบ!BB28"")"),0)</f>
        <v>0</v>
      </c>
      <c r="N99" s="425">
        <f ca="1">IFERROR(__xludf.DUMMYFUNCTION("IMPORTRANGE(""https://docs.google.com/spreadsheets/d/1-uDff_7J0KD5mKrp0Vvzr7lt3OU09vwQwhkpOPPYv2Y/edit?usp=sharing"",""งบพรบ!BD28"")"),0)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IFERROR(__xludf.DUMMYFUNCTION("IMPORTRANGE(""https://docs.google.com/spreadsheets/d/1-uDff_7J0KD5mKrp0Vvzr7lt3OU09vwQwhkpOPPYv2Y/edit?usp=sharing"",""งบพรบ!AZ28"")"),0)</f>
        <v>0</v>
      </c>
      <c r="M102" s="425">
        <f ca="1">IFERROR(__xludf.DUMMYFUNCTION("IMPORTRANGE(""https://docs.google.com/spreadsheets/d/1-uDff_7J0KD5mKrp0Vvzr7lt3OU09vwQwhkpOPPYv2Y/edit?usp=sharing"",""งบพรบ!BC28"")"),0)</f>
        <v>0</v>
      </c>
      <c r="N102" s="425">
        <f ca="1">IFERROR(__xludf.DUMMYFUNCTION("IMPORTRANGE(""https://docs.google.com/spreadsheets/d/1-uDff_7J0KD5mKrp0Vvzr7lt3OU09vwQwhkpOPPYv2Y/edit?usp=sharing"",""งบพรบ!BE28"")"),0)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IFERROR(__xludf.DUMMYFUNCTION("IMPORTRANGE(""https://docs.google.com/spreadsheets/d/1eHaY18a8A9IcSdp1K8H6x8fbOy06t2VsZHhMHf-1x7Y/edit?usp=sharing"",""แผน!N28"")"),0)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IFERROR(__xludf.DUMMYFUNCTION("IMPORTRANGE(""https://docs.google.com/spreadsheets/d/1eHaY18a8A9IcSdp1K8H6x8fbOy06t2VsZHhMHf-1x7Y/edit?usp=sharing"",""แผน!O28"")"),0)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IFERROR(__xludf.DUMMYFUNCTION("IMPORTRANGE(""https://docs.google.com/spreadsheets/d/1eHaY18a8A9IcSdp1K8H6x8fbOy06t2VsZHhMHf-1x7Y/edit?usp=sharing"",""แผน!R28"")"),0)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IFERROR(__xludf.DUMMYFUNCTION("IMPORTRANGE(""https://docs.google.com/spreadsheets/d/1-uDff_7J0KD5mKrp0Vvzr7lt3OU09vwQwhkpOPPYv2Y/edit?usp=sharing"",""งบพรบ!BG28"")"),0)</f>
        <v>0</v>
      </c>
      <c r="M130" s="723">
        <f ca="1">IFERROR(__xludf.DUMMYFUNCTION("IMPORTRANGE(""https://docs.google.com/spreadsheets/d/1-uDff_7J0KD5mKrp0Vvzr7lt3OU09vwQwhkpOPPYv2Y/edit?usp=sharing"",""งบพรบ!BL28"")"),0)</f>
        <v>0</v>
      </c>
      <c r="N130" s="723">
        <f ca="1">IFERROR(__xludf.DUMMYFUNCTION("IMPORTRANGE(""https://docs.google.com/spreadsheets/d/1-uDff_7J0KD5mKrp0Vvzr7lt3OU09vwQwhkpOPPYv2Y/edit?usp=sharing"",""งบพรบ!BN28"")"),0)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IFERROR(__xludf.DUMMYFUNCTION("IMPORTRANGE(""https://docs.google.com/spreadsheets/d/1-uDff_7J0KD5mKrp0Vvzr7lt3OU09vwQwhkpOPPYv2Y/edit?usp=sharing"",""งบพรบ!BJ28"")"),0)</f>
        <v>0</v>
      </c>
      <c r="M133" s="723">
        <f ca="1">IFERROR(__xludf.DUMMYFUNCTION("IMPORTRANGE(""https://docs.google.com/spreadsheets/d/1-uDff_7J0KD5mKrp0Vvzr7lt3OU09vwQwhkpOPPYv2Y/edit?usp=sharing"",""งบพรบ!BM28"")"),0)</f>
        <v>0</v>
      </c>
      <c r="N133" s="723">
        <f ca="1">IFERROR(__xludf.DUMMYFUNCTION("IMPORTRANGE(""https://docs.google.com/spreadsheets/d/1-uDff_7J0KD5mKrp0Vvzr7lt3OU09vwQwhkpOPPYv2Y/edit?usp=sharing"",""งบพรบ!BO28"")"),0)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hidden="1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hidden="1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hidden="1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0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hidden="1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hidden="1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0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hidden="1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0</v>
      </c>
      <c r="M139" s="577">
        <f ca="1">M140+M141</f>
        <v>0</v>
      </c>
      <c r="N139" s="577">
        <f ca="1">N140+N141</f>
        <v>0</v>
      </c>
      <c r="O139" s="577">
        <f ca="1">IF(L139&gt;0,N139*100/L139,0)</f>
        <v>0</v>
      </c>
      <c r="P139" s="577">
        <f ca="1">IF(M139&gt;0,N139*100/M139,0)</f>
        <v>0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hidden="1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hidden="1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IFERROR(__xludf.DUMMYFUNCTION("IMPORTRANGE(""https://docs.google.com/spreadsheets/d/1-uDff_7J0KD5mKrp0Vvzr7lt3OU09vwQwhkpOPPYv2Y/edit?usp=sharing"",""งบพรบ!BQ28"")"),0)</f>
        <v>0</v>
      </c>
      <c r="M144" s="425">
        <f ca="1">IFERROR(__xludf.DUMMYFUNCTION("IMPORTRANGE(""https://docs.google.com/spreadsheets/d/1-uDff_7J0KD5mKrp0Vvzr7lt3OU09vwQwhkpOPPYv2Y/edit?usp=sharing"",""งบพรบ!BV28"")"),0)</f>
        <v>0</v>
      </c>
      <c r="N144" s="425">
        <f ca="1">IFERROR(__xludf.DUMMYFUNCTION("IMPORTRANGE(""https://docs.google.com/spreadsheets/d/1-uDff_7J0KD5mKrp0Vvzr7lt3OU09vwQwhkpOPPYv2Y/edit?usp=sharing"",""งบพรบ!BX28"")"),0)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hidden="1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IFERROR(__xludf.DUMMYFUNCTION("IMPORTRANGE(""https://docs.google.com/spreadsheets/d/1-uDff_7J0KD5mKrp0Vvzr7lt3OU09vwQwhkpOPPYv2Y/edit?usp=sharing"",""งบพรบ!BT28"")"),0)</f>
        <v>0</v>
      </c>
      <c r="M147" s="425">
        <f ca="1">IFERROR(__xludf.DUMMYFUNCTION("IMPORTRANGE(""https://docs.google.com/spreadsheets/d/1-uDff_7J0KD5mKrp0Vvzr7lt3OU09vwQwhkpOPPYv2Y/edit?usp=sharing"",""งบพรบ!BW28"")"),0)</f>
        <v>0</v>
      </c>
      <c r="N147" s="425">
        <f ca="1">IFERROR(__xludf.DUMMYFUNCTION("IMPORTRANGE(""https://docs.google.com/spreadsheets/d/1-uDff_7J0KD5mKrp0Vvzr7lt3OU09vwQwhkpOPPYv2Y/edit?usp=sharing"",""งบพรบ!BY28"")"),0)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IFERROR(__xludf.DUMMYFUNCTION("IMPORTRANGE(""https://docs.google.com/spreadsheets/d/1eHaY18a8A9IcSdp1K8H6x8fbOy06t2VsZHhMHf-1x7Y/edit?usp=sharing"",""แผน!U28"")"),0)</f>
        <v>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IFERROR(__xludf.DUMMYFUNCTION("IMPORTRANGE(""https://docs.google.com/spreadsheets/d/1eHaY18a8A9IcSdp1K8H6x8fbOy06t2VsZHhMHf-1x7Y/edit?usp=sharing"",""แผน!V28"")"),0)</f>
        <v>0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IFERROR(__xludf.DUMMYFUNCTION("IMPORTRANGE(""https://docs.google.com/spreadsheets/d/1eHaY18a8A9IcSdp1K8H6x8fbOy06t2VsZHhMHf-1x7Y/edit?usp=sharing"",""แผน!W28"")"),0)</f>
        <v>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IFERROR(__xludf.DUMMYFUNCTION("IMPORTRANGE(""https://docs.google.com/spreadsheets/d/1eHaY18a8A9IcSdp1K8H6x8fbOy06t2VsZHhMHf-1x7Y/edit?usp=sharing"",""แผน!X28"")"),0)</f>
        <v>0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IFERROR(__xludf.DUMMYFUNCTION("IMPORTRANGE(""https://docs.google.com/spreadsheets/d/1eHaY18a8A9IcSdp1K8H6x8fbOy06t2VsZHhMHf-1x7Y/edit?usp=sharing"",""แผน!Y28"")"),0)</f>
        <v>0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20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6000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6000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6000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IFERROR(__xludf.DUMMYFUNCTION("IMPORTRANGE(""https://docs.google.com/spreadsheets/d/1-uDff_7J0KD5mKrp0Vvzr7lt3OU09vwQwhkpOPPYv2Y/edit?usp=sharing"",""งบพรบ!CA28"")"),6000)</f>
        <v>6000</v>
      </c>
      <c r="M162" s="425">
        <f ca="1">IFERROR(__xludf.DUMMYFUNCTION("IMPORTRANGE(""https://docs.google.com/spreadsheets/d/1-uDff_7J0KD5mKrp0Vvzr7lt3OU09vwQwhkpOPPYv2Y/edit?usp=sharing"",""งบพรบ!CF28"")"),0)</f>
        <v>0</v>
      </c>
      <c r="N162" s="425">
        <f ca="1">IFERROR(__xludf.DUMMYFUNCTION("IMPORTRANGE(""https://docs.google.com/spreadsheets/d/1-uDff_7J0KD5mKrp0Vvzr7lt3OU09vwQwhkpOPPYv2Y/edit?usp=sharing"",""งบพรบ!CH28"")"),0)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IFERROR(__xludf.DUMMYFUNCTION("IMPORTRANGE(""https://docs.google.com/spreadsheets/d/1-uDff_7J0KD5mKrp0Vvzr7lt3OU09vwQwhkpOPPYv2Y/edit?usp=sharing"",""งบพรบ!CD28"")"),0)</f>
        <v>0</v>
      </c>
      <c r="M165" s="425">
        <f ca="1">IFERROR(__xludf.DUMMYFUNCTION("IMPORTRANGE(""https://docs.google.com/spreadsheets/d/1-uDff_7J0KD5mKrp0Vvzr7lt3OU09vwQwhkpOPPYv2Y/edit?usp=sharing"",""งบพรบ!CG28"")"),0)</f>
        <v>0</v>
      </c>
      <c r="N165" s="425">
        <f ca="1">IFERROR(__xludf.DUMMYFUNCTION("IMPORTRANGE(""https://docs.google.com/spreadsheets/d/1-uDff_7J0KD5mKrp0Vvzr7lt3OU09vwQwhkpOPPYv2Y/edit?usp=sharing"",""งบพรบ!CI28"")"),0)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IFERROR(__xludf.DUMMYFUNCTION("IMPORTRANGE(""https://docs.google.com/spreadsheets/d/1eHaY18a8A9IcSdp1K8H6x8fbOy06t2VsZHhMHf-1x7Y/edit?usp=sharing"",""แผน!Z28"")"),20)</f>
        <v>20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20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20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221430</v>
      </c>
      <c r="N173" s="577">
        <f ca="1">N174+N175</f>
        <v>141840</v>
      </c>
      <c r="O173" s="577">
        <f ca="1">IF(L173&gt;0,N173*100/L173,0)</f>
        <v>724.04287901990813</v>
      </c>
      <c r="P173" s="577">
        <f ca="1">IF(M173&gt;0,N173*100/M173,0)</f>
        <v>64.056360926703704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221430</v>
      </c>
      <c r="N175" s="425">
        <f ca="1">N178+N181</f>
        <v>141840</v>
      </c>
      <c r="O175" s="425">
        <f ca="1">IF(L175&gt;0,N175*100/L175,0)</f>
        <v>724.04287901990813</v>
      </c>
      <c r="P175" s="425">
        <f ca="1">IF(M175&gt;0,N175*100/M175,0)</f>
        <v>64.056360926703704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221430</v>
      </c>
      <c r="N176" s="425">
        <f ca="1">N177+N178</f>
        <v>141840</v>
      </c>
      <c r="O176" s="425">
        <f ca="1">IF(L176&gt;0,N176*100/L176,0)</f>
        <v>724.04287901990813</v>
      </c>
      <c r="P176" s="425">
        <f ca="1">IF(M176&gt;0,N176*100/M176,0)</f>
        <v>64.056360926703704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IFERROR(__xludf.DUMMYFUNCTION("IMPORTRANGE(""https://docs.google.com/spreadsheets/d/1-uDff_7J0KD5mKrp0Vvzr7lt3OU09vwQwhkpOPPYv2Y/edit?usp=sharing"",""งบพรบ!CK28"")"),19590)</f>
        <v>19590</v>
      </c>
      <c r="M178" s="425">
        <f ca="1">IFERROR(__xludf.DUMMYFUNCTION("IMPORTRANGE(""https://docs.google.com/spreadsheets/d/1-uDff_7J0KD5mKrp0Vvzr7lt3OU09vwQwhkpOPPYv2Y/edit?usp=sharing"",""งบพรบ!CP28"")"),221430)</f>
        <v>221430</v>
      </c>
      <c r="N178" s="425">
        <f ca="1">IFERROR(__xludf.DUMMYFUNCTION("IMPORTRANGE(""https://docs.google.com/spreadsheets/d/1-uDff_7J0KD5mKrp0Vvzr7lt3OU09vwQwhkpOPPYv2Y/edit?usp=sharing"",""งบพรบ!CR28"")"),141840)</f>
        <v>141840</v>
      </c>
      <c r="O178" s="425">
        <f ca="1">IF(L178&gt;0,N178*100/L178,0)</f>
        <v>724.04287901990813</v>
      </c>
      <c r="P178" s="425">
        <f ca="1">IF(M178&gt;0,N178*100/M178,0)</f>
        <v>64.056360926703704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IFERROR(__xludf.DUMMYFUNCTION("IMPORTRANGE(""https://docs.google.com/spreadsheets/d/1-uDff_7J0KD5mKrp0Vvzr7lt3OU09vwQwhkpOPPYv2Y/edit?usp=sharing"",""งบพรบ!CN28"")"),0)</f>
        <v>0</v>
      </c>
      <c r="M181" s="425">
        <f ca="1">IFERROR(__xludf.DUMMYFUNCTION("IMPORTRANGE(""https://docs.google.com/spreadsheets/d/1-uDff_7J0KD5mKrp0Vvzr7lt3OU09vwQwhkpOPPYv2Y/edit?usp=sharing"",""งบพรบ!CQ28"")"),0)</f>
        <v>0</v>
      </c>
      <c r="N181" s="425">
        <f ca="1">IFERROR(__xludf.DUMMYFUNCTION("IMPORTRANGE(""https://docs.google.com/spreadsheets/d/1-uDff_7J0KD5mKrp0Vvzr7lt3OU09vwQwhkpOPPYv2Y/edit?usp=sharing"",""งบพรบ!CS28"")"),0)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IFERROR(__xludf.DUMMYFUNCTION("IMPORTRANGE(""https://docs.google.com/spreadsheets/d/1eHaY18a8A9IcSdp1K8H6x8fbOy06t2VsZHhMHf-1x7Y/edit?usp=sharing"",""แผน!AA28"")"),7)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66500</v>
      </c>
      <c r="M186" s="577">
        <f ca="1">M187+M188</f>
        <v>40500</v>
      </c>
      <c r="N186" s="577">
        <f ca="1">N187+N188</f>
        <v>0</v>
      </c>
      <c r="O186" s="577">
        <f ca="1">IF(L186&gt;0,N186*100/L186,0)</f>
        <v>0</v>
      </c>
      <c r="P186" s="577">
        <f ca="1">IF(M186&gt;0,N186*100/M186,0)</f>
        <v>0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66500</v>
      </c>
      <c r="M188" s="425">
        <f ca="1">M191+M194</f>
        <v>40500</v>
      </c>
      <c r="N188" s="425">
        <f ca="1">N191+N194</f>
        <v>0</v>
      </c>
      <c r="O188" s="425">
        <f ca="1">IF(L188&gt;0,N188*100/L188,0)</f>
        <v>0</v>
      </c>
      <c r="P188" s="425">
        <f ca="1">IF(M188&gt;0,N188*100/M188,0)</f>
        <v>0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66500</v>
      </c>
      <c r="M189" s="425">
        <f ca="1">M190+M191</f>
        <v>40500</v>
      </c>
      <c r="N189" s="425">
        <f ca="1">N190+N191</f>
        <v>0</v>
      </c>
      <c r="O189" s="425">
        <f ca="1">IF(L189&gt;0,N189*100/L189,0)</f>
        <v>0</v>
      </c>
      <c r="P189" s="425">
        <f ca="1">IF(M189&gt;0,N189*100/M189,0)</f>
        <v>0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IFERROR(__xludf.DUMMYFUNCTION("IMPORTRANGE(""https://docs.google.com/spreadsheets/d/1-uDff_7J0KD5mKrp0Vvzr7lt3OU09vwQwhkpOPPYv2Y/edit?usp=sharing"",""งบพรบ!CU28"")"),66500)</f>
        <v>66500</v>
      </c>
      <c r="M191" s="425">
        <f ca="1">IFERROR(__xludf.DUMMYFUNCTION("IMPORTRANGE(""https://docs.google.com/spreadsheets/d/1-uDff_7J0KD5mKrp0Vvzr7lt3OU09vwQwhkpOPPYv2Y/edit?usp=sharing"",""งบพรบ!CZ28"")"),40500)</f>
        <v>40500</v>
      </c>
      <c r="N191" s="425">
        <f ca="1">IFERROR(__xludf.DUMMYFUNCTION("IMPORTRANGE(""https://docs.google.com/spreadsheets/d/1-uDff_7J0KD5mKrp0Vvzr7lt3OU09vwQwhkpOPPYv2Y/edit?usp=sharing"",""งบพรบ!DB28"")"),0)</f>
        <v>0</v>
      </c>
      <c r="O191" s="425">
        <f ca="1">IF(L191&gt;0,N191*100/L191,0)</f>
        <v>0</v>
      </c>
      <c r="P191" s="425">
        <f ca="1">IF(M191&gt;0,N191*100/M191,0)</f>
        <v>0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IFERROR(__xludf.DUMMYFUNCTION("IMPORTRANGE(""https://docs.google.com/spreadsheets/d/1-uDff_7J0KD5mKrp0Vvzr7lt3OU09vwQwhkpOPPYv2Y/edit?usp=sharing"",""งบพรบ!CX28"")"),0)</f>
        <v>0</v>
      </c>
      <c r="M194" s="425">
        <f ca="1">IFERROR(__xludf.DUMMYFUNCTION("IMPORTRANGE(""https://docs.google.com/spreadsheets/d/1-uDff_7J0KD5mKrp0Vvzr7lt3OU09vwQwhkpOPPYv2Y/edit?usp=sharing"",""งบพรบ!DA28"")"),0)</f>
        <v>0</v>
      </c>
      <c r="N194" s="425">
        <f ca="1">IFERROR(__xludf.DUMMYFUNCTION("IMPORTRANGE(""https://docs.google.com/spreadsheets/d/1-uDff_7J0KD5mKrp0Vvzr7lt3OU09vwQwhkpOPPYv2Y/edit?usp=sharing"",""งบพรบ!DC28"")"),0)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IFERROR(__xludf.DUMMYFUNCTION("IMPORTRANGE(""https://docs.google.com/spreadsheets/d/1eHaY18a8A9IcSdp1K8H6x8fbOy06t2VsZHhMHf-1x7Y/edit?usp=sharing"",""แผน!AB28"")"),6000)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IFERROR(__xludf.DUMMYFUNCTION("IMPORTRANGE(""https://docs.google.com/spreadsheets/d/1eHaY18a8A9IcSdp1K8H6x8fbOy06t2VsZHhMHf-1x7Y/edit?usp=sharing"",""แผน!AE28"")"),4)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4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52000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IFERROR(__xludf.DUMMYFUNCTION("IMPORTRANGE(""https://docs.google.com/spreadsheets/d/1eHaY18a8A9IcSdp1K8H6x8fbOy06t2VsZHhMHf-1x7Y/edit?usp=sharing"",""แผน!AG28"")"),4000)</f>
        <v>4000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IFERROR(__xludf.DUMMYFUNCTION("IMPORTRANGE(""https://docs.google.com/spreadsheets/d/1eHaY18a8A9IcSdp1K8H6x8fbOy06t2VsZHhMHf-1x7Y/edit?usp=sharing"",""แผน!AH28"")"),0)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IFERROR(__xludf.DUMMYFUNCTION("IMPORTRANGE(""https://docs.google.com/spreadsheets/d/1eHaY18a8A9IcSdp1K8H6x8fbOy06t2VsZHhMHf-1x7Y/edit?usp=sharing"",""แผน!AI28"")"),32000)</f>
        <v>32000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IFERROR(__xludf.DUMMYFUNCTION("IMPORTRANGE(""https://docs.google.com/spreadsheets/d/1eHaY18a8A9IcSdp1K8H6x8fbOy06t2VsZHhMHf-1x7Y/edit?usp=sharing"",""แผน!AJ28"")"),16000)</f>
        <v>16000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IFERROR(__xludf.DUMMYFUNCTION("IMPORTRANGE(""https://docs.google.com/spreadsheets/d/1eHaY18a8A9IcSdp1K8H6x8fbOy06t2VsZHhMHf-1x7Y/edit?usp=sharing"",""แผน!AK28"")"),4)</f>
        <v>4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IFERROR(__xludf.DUMMYFUNCTION("IMPORTRANGE(""https://docs.google.com/spreadsheets/d/1eHaY18a8A9IcSdp1K8H6x8fbOy06t2VsZHhMHf-1x7Y/edit?usp=sharing"",""แผน!JX28"")"),4)</f>
        <v>4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IFERROR(__xludf.DUMMYFUNCTION("IMPORTRANGE(""https://docs.google.com/spreadsheets/d/1eHaY18a8A9IcSdp1K8H6x8fbOy06t2VsZHhMHf-1x7Y/edit?usp=sharing"",""แผน!JY28"")"),0)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IFERROR(__xludf.DUMMYFUNCTION("IMPORTRANGE(""https://docs.google.com/spreadsheets/d/1eHaY18a8A9IcSdp1K8H6x8fbOy06t2VsZHhMHf-1x7Y/edit?usp=sharing"",""แผน!AM28"")"),0)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IFERROR(__xludf.DUMMYFUNCTION("IMPORTRANGE(""https://docs.google.com/spreadsheets/d/1eHaY18a8A9IcSdp1K8H6x8fbOy06t2VsZHhMHf-1x7Y/edit?usp=sharing"",""แผน!AN28"")"),0)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IFERROR(__xludf.DUMMYFUNCTION("IMPORTRANGE(""https://docs.google.com/spreadsheets/d/1eHaY18a8A9IcSdp1K8H6x8fbOy06t2VsZHhMHf-1x7Y/edit?usp=sharing"",""แผน!AO28"")"),0)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IFERROR(__xludf.DUMMYFUNCTION("IMPORTRANGE(""https://docs.google.com/spreadsheets/d/1eHaY18a8A9IcSdp1K8H6x8fbOy06t2VsZHhMHf-1x7Y/edit?usp=sharing"",""แผน!AP28"")"),0)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IFERROR(__xludf.DUMMYFUNCTION("IMPORTRANGE(""https://docs.google.com/spreadsheets/d/1eHaY18a8A9IcSdp1K8H6x8fbOy06t2VsZHhMHf-1x7Y/edit?usp=sharing"",""แผน!AP28"")"),0)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8500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IFERROR(__xludf.DUMMYFUNCTION("IMPORTRANGE(""https://docs.google.com/spreadsheets/d/1eHaY18a8A9IcSdp1K8H6x8fbOy06t2VsZHhMHf-1x7Y/edit?usp=sharing"",""แผน!AR28"")"),7000)</f>
        <v>7000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IFERROR(__xludf.DUMMYFUNCTION("IMPORTRANGE(""https://docs.google.com/spreadsheets/d/1eHaY18a8A9IcSdp1K8H6x8fbOy06t2VsZHhMHf-1x7Y/edit?usp=sharing"",""แผน!AS28"")"),1500)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IFERROR(__xludf.DUMMYFUNCTION("IMPORTRANGE(""https://docs.google.com/spreadsheets/d/1eHaY18a8A9IcSdp1K8H6x8fbOy06t2VsZHhMHf-1x7Y/edit?usp=sharing"",""แผน!AT28"")"),0)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IFERROR(__xludf.DUMMYFUNCTION("IMPORTRANGE(""https://docs.google.com/spreadsheets/d/1eHaY18a8A9IcSdp1K8H6x8fbOy06t2VsZHhMHf-1x7Y/edit?usp=sharing"",""แผน!AV28"")"),50000)</f>
        <v>50000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IFERROR(__xludf.DUMMYFUNCTION("IMPORTRANGE(""https://docs.google.com/spreadsheets/d/1eHaY18a8A9IcSdp1K8H6x8fbOy06t2VsZHhMHf-1x7Y/edit?usp=sharing"",""แผน!AV28"")"),50000)</f>
        <v>50000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IFERROR(__xludf.DUMMYFUNCTION("IMPORTRANGE(""https://docs.google.com/spreadsheets/d/1eHaY18a8A9IcSdp1K8H6x8fbOy06t2VsZHhMHf-1x7Y/edit?usp=sharing"",""แผน!AU28"")"),0)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IFERROR(__xludf.DUMMYFUNCTION("IMPORTRANGE(""https://docs.google.com/spreadsheets/d/1eHaY18a8A9IcSdp1K8H6x8fbOy06t2VsZHhMHf-1x7Y/edit?usp=sharing"",""แผน!AX28"")"),0)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IFERROR(__xludf.DUMMYFUNCTION("IMPORTRANGE(""https://docs.google.com/spreadsheets/d/1eHaY18a8A9IcSdp1K8H6x8fbOy06t2VsZHhMHf-1x7Y/edit?usp=sharing"",""แผน!AY28"")"),0)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IFERROR(__xludf.DUMMYFUNCTION("IMPORTRANGE(""https://docs.google.com/spreadsheets/d/1eHaY18a8A9IcSdp1K8H6x8fbOy06t2VsZHhMHf-1x7Y/edit?usp=sharing"",""แผน!AZ28"")"),0)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IFERROR(__xludf.DUMMYFUNCTION("IMPORTRANGE(""https://docs.google.com/spreadsheets/d/1eHaY18a8A9IcSdp1K8H6x8fbOy06t2VsZHhMHf-1x7Y/edit?usp=sharing"",""แผน!BA28"")"),0)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IFERROR(__xludf.DUMMYFUNCTION("IMPORTRANGE(""https://docs.google.com/spreadsheets/d/1eHaY18a8A9IcSdp1K8H6x8fbOy06t2VsZHhMHf-1x7Y/edit?usp=sharing"",""แผน!BG28"")"),0)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IFERROR(__xludf.DUMMYFUNCTION("IMPORTRANGE(""https://docs.google.com/spreadsheets/d/1eHaY18a8A9IcSdp1K8H6x8fbOy06t2VsZHhMHf-1x7Y/edit?usp=sharing"",""แผน!BB28"")"),0)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IFERROR(__xludf.DUMMYFUNCTION("IMPORTRANGE(""https://docs.google.com/spreadsheets/d/1eHaY18a8A9IcSdp1K8H6x8fbOy06t2VsZHhMHf-1x7Y/edit?usp=sharing"",""แผน!BC28"")"),0)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IFERROR(__xludf.DUMMYFUNCTION("IMPORTRANGE(""https://docs.google.com/spreadsheets/d/1eHaY18a8A9IcSdp1K8H6x8fbOy06t2VsZHhMHf-1x7Y/edit?usp=sharing"",""แผน!BD28"")"),0)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IFERROR(__xludf.DUMMYFUNCTION("IMPORTRANGE(""https://docs.google.com/spreadsheets/d/1eHaY18a8A9IcSdp1K8H6x8fbOy06t2VsZHhMHf-1x7Y/edit?usp=sharing"",""แผน!BE28"")"),0)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IFERROR(__xludf.DUMMYFUNCTION("IMPORTRANGE(""https://docs.google.com/spreadsheets/d/1eHaY18a8A9IcSdp1K8H6x8fbOy06t2VsZHhMHf-1x7Y/edit?usp=sharing"",""แผน!BH28"")"),0)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IFERROR(__xludf.DUMMYFUNCTION("IMPORTRANGE(""https://docs.google.com/spreadsheets/d/1-uDff_7J0KD5mKrp0Vvzr7lt3OU09vwQwhkpOPPYv2Y/edit?usp=sharing"",""งบพรบ!DE28"")"),0)</f>
        <v>0</v>
      </c>
      <c r="M271" s="521">
        <f ca="1">IFERROR(__xludf.DUMMYFUNCTION("IMPORTRANGE(""https://docs.google.com/spreadsheets/d/1-uDff_7J0KD5mKrp0Vvzr7lt3OU09vwQwhkpOPPYv2Y/edit?usp=sharing"",""งบพรบ!DJ28"")"),0)</f>
        <v>0</v>
      </c>
      <c r="N271" s="521">
        <f ca="1">IFERROR(__xludf.DUMMYFUNCTION("IMPORTRANGE(""https://docs.google.com/spreadsheets/d/1-uDff_7J0KD5mKrp0Vvzr7lt3OU09vwQwhkpOPPYv2Y/edit?usp=sharing"",""งบพรบ!DL28"")"),0)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IFERROR(__xludf.DUMMYFUNCTION("IMPORTRANGE(""https://docs.google.com/spreadsheets/d/1-uDff_7J0KD5mKrp0Vvzr7lt3OU09vwQwhkpOPPYv2Y/edit?usp=sharing"",""งบพรบ!DH28"")"),0)</f>
        <v>0</v>
      </c>
      <c r="M274" s="521">
        <f ca="1">IFERROR(__xludf.DUMMYFUNCTION("IMPORTRANGE(""https://docs.google.com/spreadsheets/d/1-uDff_7J0KD5mKrp0Vvzr7lt3OU09vwQwhkpOPPYv2Y/edit?usp=sharing"",""งบพรบ!DK28"")"),0)</f>
        <v>0</v>
      </c>
      <c r="N274" s="521">
        <f ca="1">IFERROR(__xludf.DUMMYFUNCTION("IMPORTRANGE(""https://docs.google.com/spreadsheets/d/1-uDff_7J0KD5mKrp0Vvzr7lt3OU09vwQwhkpOPPYv2Y/edit?usp=sharing"",""งบพรบ!DM28"")"),0)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20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200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155220</v>
      </c>
      <c r="M282" s="577">
        <f ca="1">M283+M284</f>
        <v>119980</v>
      </c>
      <c r="N282" s="577">
        <f ca="1">N283+N284</f>
        <v>43979</v>
      </c>
      <c r="O282" s="577">
        <f ca="1">IF(L282&gt;0,N282*100/L282,0)</f>
        <v>28.333333333333332</v>
      </c>
      <c r="P282" s="577">
        <f ca="1">IF(M282&gt;0,N282*100/M282,0)</f>
        <v>36.655275879313216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155220</v>
      </c>
      <c r="M284" s="425">
        <f ca="1">M287+M290</f>
        <v>119980</v>
      </c>
      <c r="N284" s="425">
        <f ca="1">N287+N290</f>
        <v>43979</v>
      </c>
      <c r="O284" s="425">
        <f ca="1">IF(L284&gt;0,N284*100/L284,0)</f>
        <v>28.333333333333332</v>
      </c>
      <c r="P284" s="425">
        <f ca="1">IF(M284&gt;0,N284*100/M284,0)</f>
        <v>36.655275879313216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155220</v>
      </c>
      <c r="M285" s="425">
        <f ca="1">M286+M287</f>
        <v>119980</v>
      </c>
      <c r="N285" s="425">
        <f ca="1">N286+N287</f>
        <v>43979</v>
      </c>
      <c r="O285" s="425">
        <f ca="1">IF(L285&gt;0,N285*100/L285,0)</f>
        <v>28.333333333333332</v>
      </c>
      <c r="P285" s="425">
        <f ca="1">IF(M285&gt;0,N285*100/M285,0)</f>
        <v>36.655275879313216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IFERROR(__xludf.DUMMYFUNCTION("IMPORTRANGE(""https://docs.google.com/spreadsheets/d/1-uDff_7J0KD5mKrp0Vvzr7lt3OU09vwQwhkpOPPYv2Y/edit?usp=sharing"",""งบพรบ!DO28"")"),155220)</f>
        <v>155220</v>
      </c>
      <c r="M287" s="425">
        <f ca="1">IFERROR(__xludf.DUMMYFUNCTION("IMPORTRANGE(""https://docs.google.com/spreadsheets/d/1-uDff_7J0KD5mKrp0Vvzr7lt3OU09vwQwhkpOPPYv2Y/edit?usp=sharing"",""งบพรบ!DT28"")"),119980)</f>
        <v>119980</v>
      </c>
      <c r="N287" s="425">
        <f ca="1">IFERROR(__xludf.DUMMYFUNCTION("IMPORTRANGE(""https://docs.google.com/spreadsheets/d/1-uDff_7J0KD5mKrp0Vvzr7lt3OU09vwQwhkpOPPYv2Y/edit?usp=sharing"",""งบพรบ!DV28"")"),43979)</f>
        <v>43979</v>
      </c>
      <c r="O287" s="425">
        <f ca="1">IF(L287&gt;0,N287*100/L287,0)</f>
        <v>28.333333333333332</v>
      </c>
      <c r="P287" s="425">
        <f ca="1">IF(M287&gt;0,N287*100/M287,0)</f>
        <v>36.655275879313216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IFERROR(__xludf.DUMMYFUNCTION("IMPORTRANGE(""https://docs.google.com/spreadsheets/d/1-uDff_7J0KD5mKrp0Vvzr7lt3OU09vwQwhkpOPPYv2Y/edit?usp=sharing"",""งบพรบ!DR28"")"),0)</f>
        <v>0</v>
      </c>
      <c r="M290" s="425">
        <f ca="1">IFERROR(__xludf.DUMMYFUNCTION("IMPORTRANGE(""https://docs.google.com/spreadsheets/d/1-uDff_7J0KD5mKrp0Vvzr7lt3OU09vwQwhkpOPPYv2Y/edit?usp=sharing"",""งบพรบ!DU28"")"),0)</f>
        <v>0</v>
      </c>
      <c r="N290" s="425">
        <f ca="1">IFERROR(__xludf.DUMMYFUNCTION("IMPORTRANGE(""https://docs.google.com/spreadsheets/d/1-uDff_7J0KD5mKrp0Vvzr7lt3OU09vwQwhkpOPPYv2Y/edit?usp=sharing"",""งบพรบ!DW28"")"),0)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IFERROR(__xludf.DUMMYFUNCTION("IMPORTRANGE(""https://docs.google.com/spreadsheets/d/1eHaY18a8A9IcSdp1K8H6x8fbOy06t2VsZHhMHf-1x7Y/edit?usp=sharing"",""แผน!EE28"")"),200)</f>
        <v>200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IFERROR(__xludf.DUMMYFUNCTION("IMPORTRANGE(""https://docs.google.com/spreadsheets/d/1eHaY18a8A9IcSdp1K8H6x8fbOy06t2VsZHhMHf-1x7Y/edit?usp=sharing"",""แผน!ED28"")"),20)</f>
        <v>20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IFERROR(__xludf.DUMMYFUNCTION("IMPORTRANGE(""https://docs.google.com/spreadsheets/d/1eHaY18a8A9IcSdp1K8H6x8fbOy06t2VsZHhMHf-1x7Y/edit?usp=sharing"",""แผน!ED28"")"),20)</f>
        <v>20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IFERROR(__xludf.DUMMYFUNCTION("IMPORTRANGE(""https://docs.google.com/spreadsheets/d/1eHaY18a8A9IcSdp1K8H6x8fbOy06t2VsZHhMHf-1x7Y/edit?usp=sharing"",""แผน!ED28"")"),20)</f>
        <v>20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hidden="1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hidden="1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hidden="1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hidden="1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0</v>
      </c>
      <c r="M303" s="577">
        <f ca="1">M304+M305</f>
        <v>0</v>
      </c>
      <c r="N303" s="577">
        <f ca="1">N304+N305</f>
        <v>0</v>
      </c>
      <c r="O303" s="577">
        <f ca="1">IF(L303&gt;0,N303*100/L303,0)</f>
        <v>0</v>
      </c>
      <c r="P303" s="577">
        <f ca="1">IF(M303&gt;0,N303*100/M303,0)</f>
        <v>0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hidden="1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hidden="1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IFERROR(__xludf.DUMMYFUNCTION("IMPORTRANGE(""https://docs.google.com/spreadsheets/d/1-uDff_7J0KD5mKrp0Vvzr7lt3OU09vwQwhkpOPPYv2Y/edit?usp=sharing"",""งบพรบ!DY28"")"),0)</f>
        <v>0</v>
      </c>
      <c r="M308" s="425">
        <f ca="1">IFERROR(__xludf.DUMMYFUNCTION("IMPORTRANGE(""https://docs.google.com/spreadsheets/d/1-uDff_7J0KD5mKrp0Vvzr7lt3OU09vwQwhkpOPPYv2Y/edit?usp=sharing"",""งบพรบ!ED28"")"),0)</f>
        <v>0</v>
      </c>
      <c r="N308" s="425">
        <f ca="1">IFERROR(__xludf.DUMMYFUNCTION("IMPORTRANGE(""https://docs.google.com/spreadsheets/d/1-uDff_7J0KD5mKrp0Vvzr7lt3OU09vwQwhkpOPPYv2Y/edit?usp=sharing"",""งบพรบ!EF28"")"),0)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hidden="1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IFERROR(__xludf.DUMMYFUNCTION("IMPORTRANGE(""https://docs.google.com/spreadsheets/d/1-uDff_7J0KD5mKrp0Vvzr7lt3OU09vwQwhkpOPPYv2Y/edit?usp=sharing"",""งบพรบ!EB28"")"),0)</f>
        <v>0</v>
      </c>
      <c r="M311" s="425">
        <f ca="1">IFERROR(__xludf.DUMMYFUNCTION("IMPORTRANGE(""https://docs.google.com/spreadsheets/d/1-uDff_7J0KD5mKrp0Vvzr7lt3OU09vwQwhkpOPPYv2Y/edit?usp=sharing"",""งบพรบ!EE28"")"),0)</f>
        <v>0</v>
      </c>
      <c r="N311" s="425">
        <f ca="1">IFERROR(__xludf.DUMMYFUNCTION("IMPORTRANGE(""https://docs.google.com/spreadsheets/d/1-uDff_7J0KD5mKrp0Vvzr7lt3OU09vwQwhkpOPPYv2Y/edit?usp=sharing"",""งบพรบ!EG28"")"),0)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IFERROR(__xludf.DUMMYFUNCTION("IMPORTRANGE(""https://docs.google.com/spreadsheets/d/1eHaY18a8A9IcSdp1K8H6x8fbOy06t2VsZHhMHf-1x7Y/edit?usp=sharing"",""แผน!EF28"")"),0)</f>
        <v>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IFERROR(__xludf.DUMMYFUNCTION("IMPORTRANGE(""https://docs.google.com/spreadsheets/d/1eHaY18a8A9IcSdp1K8H6x8fbOy06t2VsZHhMHf-1x7Y/edit?usp=sharing"",""แผน!EG28"")"),0)</f>
        <v>0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IFERROR(__xludf.DUMMYFUNCTION("IMPORTRANGE(""https://docs.google.com/spreadsheets/d/1eHaY18a8A9IcSdp1K8H6x8fbOy06t2VsZHhMHf-1x7Y/edit?usp=sharing"",""แผน!EH28"")"),0)</f>
        <v>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IFERROR(__xludf.DUMMYFUNCTION("IMPORTRANGE(""https://docs.google.com/spreadsheets/d/1eHaY18a8A9IcSdp1K8H6x8fbOy06t2VsZHhMHf-1x7Y/edit?usp=sharing"",""แผน!EI28"")"),0)</f>
        <v>0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IFERROR(__xludf.DUMMYFUNCTION("IMPORTRANGE(""https://docs.google.com/spreadsheets/d/1-uDff_7J0KD5mKrp0Vvzr7lt3OU09vwQwhkpOPPYv2Y/edit?usp=sharing"",""งบพรบ!EI28"")"),0)</f>
        <v>0</v>
      </c>
      <c r="M325" s="425">
        <f ca="1">IFERROR(__xludf.DUMMYFUNCTION("IMPORTRANGE(""https://docs.google.com/spreadsheets/d/1-uDff_7J0KD5mKrp0Vvzr7lt3OU09vwQwhkpOPPYv2Y/edit?usp=sharing"",""งบพรบ!EN28"")"),0)</f>
        <v>0</v>
      </c>
      <c r="N325" s="425">
        <f ca="1">IFERROR(__xludf.DUMMYFUNCTION("IMPORTRANGE(""https://docs.google.com/spreadsheets/d/1-uDff_7J0KD5mKrp0Vvzr7lt3OU09vwQwhkpOPPYv2Y/edit?usp=sharing"",""งบพรบ!EP28"")"),0)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IFERROR(__xludf.DUMMYFUNCTION("IMPORTRANGE(""https://docs.google.com/spreadsheets/d/1-uDff_7J0KD5mKrp0Vvzr7lt3OU09vwQwhkpOPPYv2Y/edit?usp=sharing"",""งบพรบ!EL28"")"),0)</f>
        <v>0</v>
      </c>
      <c r="M328" s="425">
        <f ca="1">IFERROR(__xludf.DUMMYFUNCTION("IMPORTRANGE(""https://docs.google.com/spreadsheets/d/1-uDff_7J0KD5mKrp0Vvzr7lt3OU09vwQwhkpOPPYv2Y/edit?usp=sharing"",""งบพรบ!EO28"")"),0)</f>
        <v>0</v>
      </c>
      <c r="N328" s="425">
        <f ca="1">IFERROR(__xludf.DUMMYFUNCTION("IMPORTRANGE(""https://docs.google.com/spreadsheets/d/1-uDff_7J0KD5mKrp0Vvzr7lt3OU09vwQwhkpOPPYv2Y/edit?usp=sharing"",""งบพรบ!EQ28"")"),0)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IFERROR(__xludf.DUMMYFUNCTION("IMPORTRANGE(""https://docs.google.com/spreadsheets/d/1eHaY18a8A9IcSdp1K8H6x8fbOy06t2VsZHhMHf-1x7Y/edit?usp=sharing"",""แผน!EJ28"")"),0)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3740</v>
      </c>
      <c r="J332" s="402">
        <f ca="1">J344+J347+J348+J349+J353</f>
        <v>1800</v>
      </c>
      <c r="K332" s="403">
        <f ca="1">IF(I332&gt;0,J332*100/I332,0)</f>
        <v>48.128342245989302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116000</v>
      </c>
      <c r="M333" s="577">
        <f ca="1">M334+M335</f>
        <v>90550</v>
      </c>
      <c r="N333" s="577">
        <f ca="1">N334+N335</f>
        <v>13000</v>
      </c>
      <c r="O333" s="577">
        <f ca="1">IF(L333&gt;0,N333*100/L333,0)</f>
        <v>11.206896551724139</v>
      </c>
      <c r="P333" s="577">
        <f ca="1">IF(M333&gt;0,N333*100/M333,0)</f>
        <v>14.356709000552181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116000</v>
      </c>
      <c r="M335" s="425">
        <f ca="1">M338+M341</f>
        <v>90550</v>
      </c>
      <c r="N335" s="425">
        <f ca="1">N338+N341</f>
        <v>13000</v>
      </c>
      <c r="O335" s="425">
        <f ca="1">IF(L335&gt;0,N335*100/L335,0)</f>
        <v>11.206896551724139</v>
      </c>
      <c r="P335" s="425">
        <f ca="1">IF(M335&gt;0,N335*100/M335,0)</f>
        <v>14.356709000552181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116000</v>
      </c>
      <c r="M336" s="425">
        <f ca="1">M337+M338</f>
        <v>90550</v>
      </c>
      <c r="N336" s="425">
        <f ca="1">N337+N338</f>
        <v>13000</v>
      </c>
      <c r="O336" s="425">
        <f ca="1">IF(L336&gt;0,N336*100/L336,0)</f>
        <v>11.206896551724139</v>
      </c>
      <c r="P336" s="425">
        <f ca="1">IF(M336&gt;0,N336*100/M336,0)</f>
        <v>14.356709000552181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IFERROR(__xludf.DUMMYFUNCTION("IMPORTRANGE(""https://docs.google.com/spreadsheets/d/1-uDff_7J0KD5mKrp0Vvzr7lt3OU09vwQwhkpOPPYv2Y/edit?usp=sharing"",""งบพรบ!ES28"")"),116000)</f>
        <v>116000</v>
      </c>
      <c r="M338" s="425">
        <f ca="1">IFERROR(__xludf.DUMMYFUNCTION("IMPORTRANGE(""https://docs.google.com/spreadsheets/d/1-uDff_7J0KD5mKrp0Vvzr7lt3OU09vwQwhkpOPPYv2Y/edit?usp=sharing"",""งบพรบ!EX28"")"),90550)</f>
        <v>90550</v>
      </c>
      <c r="N338" s="425">
        <f ca="1">IFERROR(__xludf.DUMMYFUNCTION("IMPORTRANGE(""https://docs.google.com/spreadsheets/d/1-uDff_7J0KD5mKrp0Vvzr7lt3OU09vwQwhkpOPPYv2Y/edit?usp=sharing"",""งบพรบ!EZ28"")"),13000)</f>
        <v>13000</v>
      </c>
      <c r="O338" s="425">
        <f ca="1">IF(L338&gt;0,N338*100/L338,0)</f>
        <v>11.206896551724139</v>
      </c>
      <c r="P338" s="425">
        <f ca="1">IF(M338&gt;0,N338*100/M338,0)</f>
        <v>14.356709000552181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IFERROR(__xludf.DUMMYFUNCTION("IMPORTRANGE(""https://docs.google.com/spreadsheets/d/1-uDff_7J0KD5mKrp0Vvzr7lt3OU09vwQwhkpOPPYv2Y/edit?usp=sharing"",""งบพรบ!EV28"")"),0)</f>
        <v>0</v>
      </c>
      <c r="M341" s="425">
        <f ca="1">IFERROR(__xludf.DUMMYFUNCTION("IMPORTRANGE(""https://docs.google.com/spreadsheets/d/1-uDff_7J0KD5mKrp0Vvzr7lt3OU09vwQwhkpOPPYv2Y/edit?usp=sharing"",""งบพรบ!EY28"")"),0)</f>
        <v>0</v>
      </c>
      <c r="N341" s="425">
        <f ca="1">IFERROR(__xludf.DUMMYFUNCTION("IMPORTRANGE(""https://docs.google.com/spreadsheets/d/1-uDff_7J0KD5mKrp0Vvzr7lt3OU09vwQwhkpOPPYv2Y/edit?usp=sharing"",""งบพรบ!FA28"")"),0)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1058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IFERROR(__xludf.DUMMYFUNCTION("IMPORTRANGE(""https://docs.google.com/spreadsheets/d/1eHaY18a8A9IcSdp1K8H6x8fbOy06t2VsZHhMHf-1x7Y/edit?usp=sharing"",""แผน!EK28"")"),3740)</f>
        <v>3740</v>
      </c>
      <c r="J344" s="424">
        <f ca="1">IFERROR(__xludf.DUMMYFUNCTION("IMPORTRANGE(""https://docs.google.com/spreadsheets/d/1awYsYK3VOup2i3Pq_Yjnu8DRu_mYwSBnCR2QPthd0rU/edit?usp=sharing"",""ศูนย์ยกเว้นโฉนด!D28"")"),920)</f>
        <v>920</v>
      </c>
      <c r="K344" s="425">
        <f ca="1">IF(I344&gt;0,J344*100/I344,0)</f>
        <v>24.598930481283421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IFERROR(__xludf.DUMMYFUNCTION("IMPORTRANGE(""https://docs.google.com/spreadsheets/d/1eHaY18a8A9IcSdp1K8H6x8fbOy06t2VsZHhMHf-1x7Y/edit?usp=sharing"",""แผน!EL28"")"),5)</f>
        <v>5</v>
      </c>
      <c r="J346" s="424">
        <f ca="1">IFERROR(__xludf.DUMMYFUNCTION("IMPORTRANGE(""https://docs.google.com/spreadsheets/d/1awYsYK3VOup2i3Pq_Yjnu8DRu_mYwSBnCR2QPthd0rU/edit?usp=sharing"",""ศูนย์รวม!E28"")"),3)</f>
        <v>3</v>
      </c>
      <c r="K346" s="425">
        <f ca="1">IF(I346&gt;0,J346*100/I346,0)</f>
        <v>60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IFERROR(__xludf.DUMMYFUNCTION("IMPORTRANGE(""https://docs.google.com/spreadsheets/d/1awYsYK3VOup2i3Pq_Yjnu8DRu_mYwSBnCR2QPthd0rU/edit?usp=sharing"",""ศูนย์ยกเว้นโฉนด!F28"")"),136)</f>
        <v>136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IFERROR(__xludf.DUMMYFUNCTION("IMPORTRANGE(""https://docs.google.com/spreadsheets/d/1awYsYK3VOup2i3Pq_Yjnu8DRu_mYwSBnCR2QPthd0rU/edit?usp=sharing"",""ศูนย์ยกเว้นโฉนด!G28"")"),2)</f>
        <v>2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IFERROR(__xludf.DUMMYFUNCTION("IMPORTRANGE(""https://docs.google.com/spreadsheets/d/1awYsYK3VOup2i3Pq_Yjnu8DRu_mYwSBnCR2QPthd0rU/edit?usp=sharing"",""ศูนย์ยกเว้นโฉนด!H28"")"),0)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1785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IFERROR(__xludf.DUMMYFUNCTION("IMPORTRANGE(""https://docs.google.com/spreadsheets/d/1awYsYK3VOup2i3Pq_Yjnu8DRu_mYwSBnCR2QPthd0rU/edit?usp=sharing"",""โฉนดM3!G28"")"),1043)</f>
        <v>1043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IFERROR(__xludf.DUMMYFUNCTION("IMPORTRANGE(""https://docs.google.com/spreadsheets/d/1awYsYK3VOup2i3Pq_Yjnu8DRu_mYwSBnCR2QPthd0rU/edit?usp=sharing"",""โฉนดM3!H28"")"),742)</f>
        <v>742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700725</v>
      </c>
      <c r="M356" s="577">
        <f ca="1">M357+M358</f>
        <v>558125</v>
      </c>
      <c r="N356" s="577">
        <f ca="1">N357+N358</f>
        <v>101940</v>
      </c>
      <c r="O356" s="577">
        <f ca="1">IF(L356&gt;0,N356*100/L356,0)</f>
        <v>14.547789789146956</v>
      </c>
      <c r="P356" s="577">
        <f ca="1">IF(M356&gt;0,N356*100/M356,0)</f>
        <v>18.264725643896977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700725</v>
      </c>
      <c r="M358" s="425">
        <f ca="1">M361+M364</f>
        <v>558125</v>
      </c>
      <c r="N358" s="425">
        <f ca="1">N361+N364</f>
        <v>101940</v>
      </c>
      <c r="O358" s="425">
        <f ca="1">IF(L358&gt;0,N358*100/L358,0)</f>
        <v>14.547789789146956</v>
      </c>
      <c r="P358" s="425">
        <f ca="1">IF(M358&gt;0,N358*100/M358,0)</f>
        <v>18.264725643896977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700725</v>
      </c>
      <c r="M359" s="425">
        <f ca="1">M360+M361</f>
        <v>558125</v>
      </c>
      <c r="N359" s="425">
        <f ca="1">N360+N361</f>
        <v>101940</v>
      </c>
      <c r="O359" s="425">
        <f ca="1">IF(L359&gt;0,N359*100/L359,0)</f>
        <v>14.547789789146956</v>
      </c>
      <c r="P359" s="425">
        <f ca="1">IF(M359&gt;0,N359*100/M359,0)</f>
        <v>18.264725643896977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IFERROR(__xludf.DUMMYFUNCTION("IMPORTRANGE(""https://docs.google.com/spreadsheets/d/1-uDff_7J0KD5mKrp0Vvzr7lt3OU09vwQwhkpOPPYv2Y/edit?usp=sharing"",""งบพรบ!FC28"")"),700725)</f>
        <v>700725</v>
      </c>
      <c r="M361" s="425">
        <f ca="1">IFERROR(__xludf.DUMMYFUNCTION("IMPORTRANGE(""https://docs.google.com/spreadsheets/d/1-uDff_7J0KD5mKrp0Vvzr7lt3OU09vwQwhkpOPPYv2Y/edit?usp=sharing"",""งบพรบ!FH28"")"),558125)</f>
        <v>558125</v>
      </c>
      <c r="N361" s="425">
        <f ca="1">IFERROR(__xludf.DUMMYFUNCTION("IMPORTRANGE(""https://docs.google.com/spreadsheets/d/1-uDff_7J0KD5mKrp0Vvzr7lt3OU09vwQwhkpOPPYv2Y/edit?usp=sharing"",""งบพรบ!FJ28"")"),101940)</f>
        <v>101940</v>
      </c>
      <c r="O361" s="425">
        <f ca="1">IF(L361&gt;0,N361*100/L361,0)</f>
        <v>14.547789789146956</v>
      </c>
      <c r="P361" s="425">
        <f ca="1">IF(M361&gt;0,N361*100/M361,0)</f>
        <v>18.264725643896977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IFERROR(__xludf.DUMMYFUNCTION("IMPORTRANGE(""https://docs.google.com/spreadsheets/d/1-uDff_7J0KD5mKrp0Vvzr7lt3OU09vwQwhkpOPPYv2Y/edit?usp=sharing"",""งบพรบ!FF28"")"),0)</f>
        <v>0</v>
      </c>
      <c r="M364" s="425">
        <f ca="1">IFERROR(__xludf.DUMMYFUNCTION("IMPORTRANGE(""https://docs.google.com/spreadsheets/d/1-uDff_7J0KD5mKrp0Vvzr7lt3OU09vwQwhkpOPPYv2Y/edit?usp=sharing"",""งบพรบ!FI28"")"),0)</f>
        <v>0</v>
      </c>
      <c r="N364" s="425">
        <f ca="1">IFERROR(__xludf.DUMMYFUNCTION("IMPORTRANGE(""https://docs.google.com/spreadsheets/d/1-uDff_7J0KD5mKrp0Vvzr7lt3OU09vwQwhkpOPPYv2Y/edit?usp=sharing"",""งบพรบ!FK28"")"),0)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189</v>
      </c>
      <c r="J365" s="438">
        <f ca="1">J371</f>
        <v>108</v>
      </c>
      <c r="K365" s="439">
        <f ca="1">IF(I365&gt;0,J365*100/I365,0)</f>
        <v>57.142857142857146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IFERROR(__xludf.DUMMYFUNCTION("IMPORTRANGE(""https://docs.google.com/spreadsheets/d/1tdoBKaGub7dwA3U6UFTqxio9LNnvDCQjHKmttSEBsFQ/edit?usp=sharing"",""จัดที่ดิน!AB28"")"),18)</f>
        <v>18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IFERROR(__xludf.DUMMYFUNCTION("IMPORTRANGE(""https://docs.google.com/spreadsheets/d/1eHaY18a8A9IcSdp1K8H6x8fbOy06t2VsZHhMHf-1x7Y/edit?usp=sharing"",""แผน!EW28"")"),1710)</f>
        <v>1710</v>
      </c>
      <c r="J368" s="565">
        <f ca="1">IFERROR(__xludf.DUMMYFUNCTION("IMPORTRANGE(""https://docs.google.com/spreadsheets/d/1tdoBKaGub7dwA3U6UFTqxio9LNnvDCQjHKmttSEBsFQ/edit?usp=sharing"",""จัดที่ดิน!AC28"")"),225.57)</f>
        <v>225.57</v>
      </c>
      <c r="K368" s="425">
        <f ca="1">IF(I368&gt;0,J368*100/I368,0)</f>
        <v>13.191228070175439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IFERROR(__xludf.DUMMYFUNCTION("IMPORTRANGE(""https://docs.google.com/spreadsheets/d/1eHaY18a8A9IcSdp1K8H6x8fbOy06t2VsZHhMHf-1x7Y/edit?usp=sharing"",""แผน!EX28"")"),288)</f>
        <v>288</v>
      </c>
      <c r="J369" s="424">
        <f ca="1">IFERROR(__xludf.DUMMYFUNCTION("IMPORTRANGE(""https://docs.google.com/spreadsheets/d/1tdoBKaGub7dwA3U6UFTqxio9LNnvDCQjHKmttSEBsFQ/edit?usp=sharing"",""จัดที่ดิน!AD28"")"),116)</f>
        <v>116</v>
      </c>
      <c r="K369" s="425">
        <f ca="1">IF(I369&gt;0,J369*100/I369,0)</f>
        <v>40.277777777777779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IFERROR(__xludf.DUMMYFUNCTION("IMPORTRANGE(""https://docs.google.com/spreadsheets/d/1tdoBKaGub7dwA3U6UFTqxio9LNnvDCQjHKmttSEBsFQ/edit?usp=sharing"",""จัดที่ดิน!AE28"")"),1259.66999999999)</f>
        <v>1259.6699999999901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IFERROR(__xludf.DUMMYFUNCTION("IMPORTRANGE(""https://docs.google.com/spreadsheets/d/1eHaY18a8A9IcSdp1K8H6x8fbOy06t2VsZHhMHf-1x7Y/edit?usp=sharing"",""แผน!EY28"")"),189)</f>
        <v>189</v>
      </c>
      <c r="J371" s="424">
        <f ca="1">IFERROR(__xludf.DUMMYFUNCTION("IMPORTRANGE(""https://docs.google.com/spreadsheets/d/1tdoBKaGub7dwA3U6UFTqxio9LNnvDCQjHKmttSEBsFQ/edit?usp=sharing"",""จัดที่ดิน!AF28"")"),108)</f>
        <v>108</v>
      </c>
      <c r="K371" s="425">
        <f ca="1">IF(I371&gt;0,J371*100/I371,0)</f>
        <v>57.142857142857146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IFERROR(__xludf.DUMMYFUNCTION("IMPORTRANGE(""https://docs.google.com/spreadsheets/d/1tdoBKaGub7dwA3U6UFTqxio9LNnvDCQjHKmttSEBsFQ/edit?usp=sharing"",""จัดที่ดิน!AG28"")"),1239.36)</f>
        <v>1239.3599999999999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IFERROR(__xludf.DUMMYFUNCTION("IMPORTRANGE(""https://docs.google.com/spreadsheets/d/1-uDff_7J0KD5mKrp0Vvzr7lt3OU09vwQwhkpOPPYv2Y/edit?usp=sharing"",""งบพรบ!FM28"")"),0)</f>
        <v>0</v>
      </c>
      <c r="M382" s="521">
        <f ca="1">IFERROR(__xludf.DUMMYFUNCTION("IMPORTRANGE(""https://docs.google.com/spreadsheets/d/1-uDff_7J0KD5mKrp0Vvzr7lt3OU09vwQwhkpOPPYv2Y/edit?usp=sharing"",""งบพรบ!FR28"")"),0)</f>
        <v>0</v>
      </c>
      <c r="N382" s="521">
        <f ca="1">IFERROR(__xludf.DUMMYFUNCTION("IMPORTRANGE(""https://docs.google.com/spreadsheets/d/1-uDff_7J0KD5mKrp0Vvzr7lt3OU09vwQwhkpOPPYv2Y/edit?usp=sharing"",""งบพรบ!FT28"")"),0)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IFERROR(__xludf.DUMMYFUNCTION("IMPORTRANGE(""https://docs.google.com/spreadsheets/d/1-uDff_7J0KD5mKrp0Vvzr7lt3OU09vwQwhkpOPPYv2Y/edit?usp=sharing"",""งบพรบ!FP28"")"),0)</f>
        <v>0</v>
      </c>
      <c r="M385" s="521">
        <f ca="1">IFERROR(__xludf.DUMMYFUNCTION("IMPORTRANGE(""https://docs.google.com/spreadsheets/d/1-uDff_7J0KD5mKrp0Vvzr7lt3OU09vwQwhkpOPPYv2Y/edit?usp=sharing"",""งบพรบ!FS28"")"),0)</f>
        <v>0</v>
      </c>
      <c r="N385" s="521">
        <f ca="1">IFERROR(__xludf.DUMMYFUNCTION("IMPORTRANGE(""https://docs.google.com/spreadsheets/d/1-uDff_7J0KD5mKrp0Vvzr7lt3OU09vwQwhkpOPPYv2Y/edit?usp=sharing"",""งบพรบ!FU28"")"),0)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CFDF-DDC2-49D0-B4B7-1EC17D630A70}">
  <sheetPr>
    <outlinePr summaryBelow="0" summaryRight="0"/>
  </sheetPr>
  <dimension ref="A1:P391"/>
  <sheetViews>
    <sheetView view="pageBreakPreview" zoomScale="60" zoomScaleNormal="70" workbookViewId="0">
      <pane xSplit="8" ySplit="6" topLeftCell="I339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181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1968920</v>
      </c>
      <c r="M18" s="704">
        <f ca="1">M19+M20</f>
        <v>1655100</v>
      </c>
      <c r="N18" s="704">
        <f ca="1">N19+N20</f>
        <v>722465.02</v>
      </c>
      <c r="O18" s="704">
        <f ca="1">IF(L18&gt;0,N18*100/L18,0)</f>
        <v>36.693467484712428</v>
      </c>
      <c r="P18" s="704">
        <f ca="1">IF(M18&gt;0,N18*100/M18,0)</f>
        <v>43.650838015829862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1968920</v>
      </c>
      <c r="M20" s="817">
        <f ca="1">M23+M26</f>
        <v>1655100</v>
      </c>
      <c r="N20" s="817">
        <f ca="1">N23+N26</f>
        <v>722465.02</v>
      </c>
      <c r="O20" s="817">
        <f ca="1">IF(L20&gt;0,N20*100/L20,0)</f>
        <v>36.693467484712428</v>
      </c>
      <c r="P20" s="817">
        <f ca="1">IF(M20&gt;0,N20*100/M20,0)</f>
        <v>43.650838015829862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1968920</v>
      </c>
      <c r="M21" s="425">
        <f ca="1">M22+M23</f>
        <v>1655100</v>
      </c>
      <c r="N21" s="425">
        <f ca="1">N22+N23</f>
        <v>722465.02</v>
      </c>
      <c r="O21" s="425">
        <f ca="1">IF(L21&gt;0,N21*100/L21,0)</f>
        <v>36.693467484712428</v>
      </c>
      <c r="P21" s="425">
        <f ca="1">IF(M21&gt;0,N21*100/M21,0)</f>
        <v>43.650838015829862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1968920</v>
      </c>
      <c r="M23" s="425">
        <f ca="1">M49+M64+M77+M99+M130+M144+M162+M191+M178+M271+M287+M308+M325+M338+M361+M382</f>
        <v>1655100</v>
      </c>
      <c r="N23" s="425">
        <f ca="1">N49+N64+N77+N99+N130+N144+N162+N191+N178+N271+N287+N308+N325+N338+N361+N382</f>
        <v>722465.02</v>
      </c>
      <c r="O23" s="425">
        <f ca="1">IF(L23&gt;0,N23*100/L23,0)</f>
        <v>36.693467484712428</v>
      </c>
      <c r="P23" s="425">
        <f ca="1">IF(M23&gt;0,N23*100/M23,0)</f>
        <v>43.650838015829862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1968920</v>
      </c>
      <c r="M40" s="809">
        <f ca="1">M44+M59+M72+M94+M125+M139+M157+M173+M186+M266+M282+M303+M320+M333+M356</f>
        <v>1655100</v>
      </c>
      <c r="N40" s="809">
        <f ca="1">N44+N59+N72+N94+N125+N139+N157+N173+N186+N266+N282+N303+N320+N333+N356</f>
        <v>722465.02</v>
      </c>
      <c r="O40" s="809">
        <f ca="1">IF(L40&gt;0,N40*100/L40,0)</f>
        <v>36.693467484712428</v>
      </c>
      <c r="P40" s="809">
        <f ca="1">IF(M40&gt;0,N40*100/M40,0)</f>
        <v>43.650838015829862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332950</v>
      </c>
      <c r="M44" s="794">
        <f ca="1">M45+M46</f>
        <v>339700</v>
      </c>
      <c r="N44" s="794">
        <f ca="1">N45+N46</f>
        <v>161959</v>
      </c>
      <c r="O44" s="794">
        <f ca="1">IF(L44&gt;0,N44*100/L44,0)</f>
        <v>48.643640186214149</v>
      </c>
      <c r="P44" s="794">
        <f ca="1">IF(M44&gt;0,N44*100/M44,0)</f>
        <v>47.67706800117751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332950</v>
      </c>
      <c r="M46" s="783">
        <f ca="1">M49+M52</f>
        <v>339700</v>
      </c>
      <c r="N46" s="783">
        <f ca="1">N49+N52</f>
        <v>161959</v>
      </c>
      <c r="O46" s="783">
        <f ca="1">IF(L46&gt;0,N46*100/L46,0)</f>
        <v>48.643640186214149</v>
      </c>
      <c r="P46" s="783">
        <f ca="1">IF(M46&gt;0,N46*100/M46,0)</f>
        <v>47.67706800117751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332950</v>
      </c>
      <c r="M47" s="425">
        <f ca="1">M48+M49</f>
        <v>339700</v>
      </c>
      <c r="N47" s="425">
        <f ca="1">N48+N49</f>
        <v>161959</v>
      </c>
      <c r="O47" s="425">
        <f ca="1">IF(L47&gt;0,N47*100/L47,0)</f>
        <v>48.643640186214149</v>
      </c>
      <c r="P47" s="425">
        <f ca="1">IF(M47&gt;0,N47*100/M47,0)</f>
        <v>47.67706800117751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IFERROR(__xludf.DUMMYFUNCTION("IMPORTRANGE(""https://docs.google.com/spreadsheets/d/1-uDff_7J0KD5mKrp0Vvzr7lt3OU09vwQwhkpOPPYv2Y/edit?usp=sharing"",""งบพรบ!P29"")"),332950)</f>
        <v>332950</v>
      </c>
      <c r="M49" s="425">
        <f ca="1">IFERROR(__xludf.DUMMYFUNCTION("IMPORTRANGE(""https://docs.google.com/spreadsheets/d/1-uDff_7J0KD5mKrp0Vvzr7lt3OU09vwQwhkpOPPYv2Y/edit?usp=sharing"",""งบพรบ!V29"")"),339700)</f>
        <v>339700</v>
      </c>
      <c r="N49" s="425">
        <f ca="1">IFERROR(__xludf.DUMMYFUNCTION("IMPORTRANGE(""https://docs.google.com/spreadsheets/d/1-uDff_7J0KD5mKrp0Vvzr7lt3OU09vwQwhkpOPPYv2Y/edit?usp=sharing"",""งบพรบ!Y29"")"),161959)</f>
        <v>161959</v>
      </c>
      <c r="O49" s="425">
        <f ca="1">IF(L49&gt;0,N49*100/L49,0)</f>
        <v>48.643640186214149</v>
      </c>
      <c r="P49" s="425">
        <f ca="1">IF(M49&gt;0,N49*100/M49,0)</f>
        <v>47.67706800117751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IFERROR(__xludf.DUMMYFUNCTION("IMPORTRANGE(""https://docs.google.com/spreadsheets/d/1-uDff_7J0KD5mKrp0Vvzr7lt3OU09vwQwhkpOPPYv2Y/edit?usp=sharing"",""งบพรบ!S29"")"),0)</f>
        <v>0</v>
      </c>
      <c r="M52" s="425">
        <f ca="1">IFERROR(__xludf.DUMMYFUNCTION("IMPORTRANGE(""https://docs.google.com/spreadsheets/d/1-uDff_7J0KD5mKrp0Vvzr7lt3OU09vwQwhkpOPPYv2Y/edit?usp=sharing"",""งบพรบ!W29"")"),0)</f>
        <v>0</v>
      </c>
      <c r="N52" s="425">
        <f ca="1">IFERROR(__xludf.DUMMYFUNCTION("IMPORTRANGE(""https://docs.google.com/spreadsheets/d/1-uDff_7J0KD5mKrp0Vvzr7lt3OU09vwQwhkpOPPYv2Y/edit?usp=sharing"",""งบพรบ!Z29"")"),0)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499600</v>
      </c>
      <c r="M59" s="763">
        <f ca="1">M60+M61</f>
        <v>378350</v>
      </c>
      <c r="N59" s="763">
        <f ca="1">N60+N61</f>
        <v>263224.39</v>
      </c>
      <c r="O59" s="763">
        <f ca="1">IF(L59&gt;0,N59*100/L59,0)</f>
        <v>52.687027622097681</v>
      </c>
      <c r="P59" s="763">
        <f ca="1">IF(M59&gt;0,N59*100/M59,0)</f>
        <v>69.571663803356685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499600</v>
      </c>
      <c r="M61" s="752">
        <f ca="1">M64+M67</f>
        <v>378350</v>
      </c>
      <c r="N61" s="752">
        <f ca="1">N64+N67</f>
        <v>263224.39</v>
      </c>
      <c r="O61" s="752">
        <f ca="1">IF(L61&gt;0,N61*100/L61,0)</f>
        <v>52.687027622097681</v>
      </c>
      <c r="P61" s="752">
        <f ca="1">IF(M61&gt;0,N61*100/M61,0)</f>
        <v>69.571663803356685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499600</v>
      </c>
      <c r="M62" s="425">
        <f ca="1">M63+M64</f>
        <v>378350</v>
      </c>
      <c r="N62" s="425">
        <f ca="1">N63+N64</f>
        <v>263224.39</v>
      </c>
      <c r="O62" s="425">
        <f ca="1">IF(L62&gt;0,N62*100/L62,0)</f>
        <v>52.687027622097681</v>
      </c>
      <c r="P62" s="425">
        <f ca="1">IF(M62&gt;0,N62*100/M62,0)</f>
        <v>69.571663803356685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IFERROR(__xludf.DUMMYFUNCTION("IMPORTRANGE(""https://docs.google.com/spreadsheets/d/1-uDff_7J0KD5mKrp0Vvzr7lt3OU09vwQwhkpOPPYv2Y/edit?usp=sharing"",""งบพรบ!AC29"")"),499600)</f>
        <v>499600</v>
      </c>
      <c r="M64" s="425">
        <f ca="1">IFERROR(__xludf.DUMMYFUNCTION("IMPORTRANGE(""https://docs.google.com/spreadsheets/d/1-uDff_7J0KD5mKrp0Vvzr7lt3OU09vwQwhkpOPPYv2Y/edit?usp=sharing"",""งบพรบ!AH29"")"),378350)</f>
        <v>378350</v>
      </c>
      <c r="N64" s="425">
        <f ca="1">IFERROR(__xludf.DUMMYFUNCTION("IMPORTRANGE(""https://docs.google.com/spreadsheets/d/1-uDff_7J0KD5mKrp0Vvzr7lt3OU09vwQwhkpOPPYv2Y/edit?usp=sharing"",""งบพรบ!AJ29"")"),263224.39)</f>
        <v>263224.39</v>
      </c>
      <c r="O64" s="425">
        <f ca="1">IF(L64&gt;0,N64*100/L64,0)</f>
        <v>52.687027622097681</v>
      </c>
      <c r="P64" s="425">
        <f ca="1">IF(M64&gt;0,N64*100/M64,0)</f>
        <v>69.571663803356685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IFERROR(__xludf.DUMMYFUNCTION("IMPORTRANGE(""https://docs.google.com/spreadsheets/d/1-uDff_7J0KD5mKrp0Vvzr7lt3OU09vwQwhkpOPPYv2Y/edit?usp=sharing"",""งบพรบ!AF29"")"),0)</f>
        <v>0</v>
      </c>
      <c r="M67" s="747">
        <f ca="1">IFERROR(__xludf.DUMMYFUNCTION("IMPORTRANGE(""https://docs.google.com/spreadsheets/d/1-uDff_7J0KD5mKrp0Vvzr7lt3OU09vwQwhkpOPPYv2Y/edit?usp=sharing"",""งบพรบ!AI29"")"),0)</f>
        <v>0</v>
      </c>
      <c r="N67" s="747">
        <f ca="1">IFERROR(__xludf.DUMMYFUNCTION("IMPORTRANGE(""https://docs.google.com/spreadsheets/d/1-uDff_7J0KD5mKrp0Vvzr7lt3OU09vwQwhkpOPPYv2Y/edit?usp=sharing"",""งบพรบ!AK29"")"),0)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hidden="1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hidden="1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hidden="1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0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hidden="1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0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hidden="1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0</v>
      </c>
      <c r="M72" s="577">
        <f ca="1">M73+M74</f>
        <v>0</v>
      </c>
      <c r="N72" s="577">
        <f ca="1">N73+N74</f>
        <v>0</v>
      </c>
      <c r="O72" s="577">
        <f ca="1">IF(L72&gt;0,N72*100/L72,0)</f>
        <v>0</v>
      </c>
      <c r="P72" s="577">
        <f ca="1">IF(M72&gt;0,N72*100/M72,0)</f>
        <v>0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hidden="1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hidden="1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IFERROR(__xludf.DUMMYFUNCTION("IMPORTRANGE(""https://docs.google.com/spreadsheets/d/1-uDff_7J0KD5mKrp0Vvzr7lt3OU09vwQwhkpOPPYv2Y/edit?usp=sharing"",""งบพรบ!AM29"")"),0)</f>
        <v>0</v>
      </c>
      <c r="M77" s="425">
        <f ca="1">IFERROR(__xludf.DUMMYFUNCTION("IMPORTRANGE(""https://docs.google.com/spreadsheets/d/1-uDff_7J0KD5mKrp0Vvzr7lt3OU09vwQwhkpOPPYv2Y/edit?usp=sharing"",""งบพรบ!AR29"")"),0)</f>
        <v>0</v>
      </c>
      <c r="N77" s="425">
        <f ca="1">IFERROR(__xludf.DUMMYFUNCTION("IMPORTRANGE(""https://docs.google.com/spreadsheets/d/1-uDff_7J0KD5mKrp0Vvzr7lt3OU09vwQwhkpOPPYv2Y/edit?usp=sharing"",""งบพรบ!AT29"")"),0)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hidden="1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IFERROR(__xludf.DUMMYFUNCTION("IMPORTRANGE(""https://docs.google.com/spreadsheets/d/1-uDff_7J0KD5mKrp0Vvzr7lt3OU09vwQwhkpOPPYv2Y/edit?usp=sharing"",""งบพรบ!AP29"")"),0)</f>
        <v>0</v>
      </c>
      <c r="M80" s="425">
        <f ca="1">IFERROR(__xludf.DUMMYFUNCTION("IMPORTRANGE(""https://docs.google.com/spreadsheets/d/1-uDff_7J0KD5mKrp0Vvzr7lt3OU09vwQwhkpOPPYv2Y/edit?usp=sharing"",""งบพรบ!AS29"")"),0)</f>
        <v>0</v>
      </c>
      <c r="N80" s="425">
        <f ca="1">IFERROR(__xludf.DUMMYFUNCTION("IMPORTRANGE(""https://docs.google.com/spreadsheets/d/1-uDff_7J0KD5mKrp0Vvzr7lt3OU09vwQwhkpOPPYv2Y/edit?usp=sharing"",""งบพรบ!AU29"")"),0)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hidden="1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0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hidden="1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0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hidden="1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IFERROR(__xludf.DUMMYFUNCTION("IMPORTRANGE(""https://docs.google.com/spreadsheets/d/1eHaY18a8A9IcSdp1K8H6x8fbOy06t2VsZHhMHf-1x7Y/edit?usp=sharing"",""แผน!H29"")"),0)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hidden="1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IFERROR(__xludf.DUMMYFUNCTION("IMPORTRANGE(""https://docs.google.com/spreadsheets/d/1eHaY18a8A9IcSdp1K8H6x8fbOy06t2VsZHhMHf-1x7Y/edit?usp=sharing"",""แผน!I29"")"),0)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hidden="1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IFERROR(__xludf.DUMMYFUNCTION("IMPORTRANGE(""https://docs.google.com/spreadsheets/d/1eHaY18a8A9IcSdp1K8H6x8fbOy06t2VsZHhMHf-1x7Y/edit?usp=sharing"",""แผน!F29"")"),0)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hidden="1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IFERROR(__xludf.DUMMYFUNCTION("IMPORTRANGE(""https://docs.google.com/spreadsheets/d/1eHaY18a8A9IcSdp1K8H6x8fbOy06t2VsZHhMHf-1x7Y/edit?usp=sharing"",""แผน!G29"")"),0)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hidden="1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IFERROR(__xludf.DUMMYFUNCTION("IMPORTRANGE(""https://docs.google.com/spreadsheets/d/1eHaY18a8A9IcSdp1K8H6x8fbOy06t2VsZHhMHf-1x7Y/edit?usp=sharing"",""แผน!D29"")"),0)</f>
        <v>0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hidden="1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IFERROR(__xludf.DUMMYFUNCTION("IMPORTRANGE(""https://docs.google.com/spreadsheets/d/1eHaY18a8A9IcSdp1K8H6x8fbOy06t2VsZHhMHf-1x7Y/edit?usp=sharing"",""แผน!E29"")"),0)</f>
        <v>0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hidden="1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IFERROR(__xludf.DUMMYFUNCTION("IMPORTRANGE(""https://docs.google.com/spreadsheets/d/1eHaY18a8A9IcSdp1K8H6x8fbOy06t2VsZHhMHf-1x7Y/edit?usp=sharing"",""แผน!J29"")"),0)</f>
        <v>0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IFERROR(__xludf.DUMMYFUNCTION("IMPORTRANGE(""https://docs.google.com/spreadsheets/d/1-uDff_7J0KD5mKrp0Vvzr7lt3OU09vwQwhkpOPPYv2Y/edit?usp=sharing"",""งบพรบ!AW29"")"),0)</f>
        <v>0</v>
      </c>
      <c r="M99" s="425">
        <f ca="1">IFERROR(__xludf.DUMMYFUNCTION("IMPORTRANGE(""https://docs.google.com/spreadsheets/d/1-uDff_7J0KD5mKrp0Vvzr7lt3OU09vwQwhkpOPPYv2Y/edit?usp=sharing"",""งบพรบ!BB29"")"),0)</f>
        <v>0</v>
      </c>
      <c r="N99" s="425">
        <f ca="1">IFERROR(__xludf.DUMMYFUNCTION("IMPORTRANGE(""https://docs.google.com/spreadsheets/d/1-uDff_7J0KD5mKrp0Vvzr7lt3OU09vwQwhkpOPPYv2Y/edit?usp=sharing"",""งบพรบ!BD29"")"),0)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IFERROR(__xludf.DUMMYFUNCTION("IMPORTRANGE(""https://docs.google.com/spreadsheets/d/1-uDff_7J0KD5mKrp0Vvzr7lt3OU09vwQwhkpOPPYv2Y/edit?usp=sharing"",""งบพรบ!AZ29"")"),0)</f>
        <v>0</v>
      </c>
      <c r="M102" s="425">
        <f ca="1">IFERROR(__xludf.DUMMYFUNCTION("IMPORTRANGE(""https://docs.google.com/spreadsheets/d/1-uDff_7J0KD5mKrp0Vvzr7lt3OU09vwQwhkpOPPYv2Y/edit?usp=sharing"",""งบพรบ!BC29"")"),0)</f>
        <v>0</v>
      </c>
      <c r="N102" s="425">
        <f ca="1">IFERROR(__xludf.DUMMYFUNCTION("IMPORTRANGE(""https://docs.google.com/spreadsheets/d/1-uDff_7J0KD5mKrp0Vvzr7lt3OU09vwQwhkpOPPYv2Y/edit?usp=sharing"",""งบพรบ!BE29"")"),0)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IFERROR(__xludf.DUMMYFUNCTION("IMPORTRANGE(""https://docs.google.com/spreadsheets/d/1eHaY18a8A9IcSdp1K8H6x8fbOy06t2VsZHhMHf-1x7Y/edit?usp=sharing"",""แผน!N29"")"),0)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IFERROR(__xludf.DUMMYFUNCTION("IMPORTRANGE(""https://docs.google.com/spreadsheets/d/1eHaY18a8A9IcSdp1K8H6x8fbOy06t2VsZHhMHf-1x7Y/edit?usp=sharing"",""แผน!O29"")"),0)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IFERROR(__xludf.DUMMYFUNCTION("IMPORTRANGE(""https://docs.google.com/spreadsheets/d/1eHaY18a8A9IcSdp1K8H6x8fbOy06t2VsZHhMHf-1x7Y/edit?usp=sharing"",""แผน!R29"")"),0)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IFERROR(__xludf.DUMMYFUNCTION("IMPORTRANGE(""https://docs.google.com/spreadsheets/d/1-uDff_7J0KD5mKrp0Vvzr7lt3OU09vwQwhkpOPPYv2Y/edit?usp=sharing"",""งบพรบ!BG29"")"),0)</f>
        <v>0</v>
      </c>
      <c r="M130" s="723">
        <f ca="1">IFERROR(__xludf.DUMMYFUNCTION("IMPORTRANGE(""https://docs.google.com/spreadsheets/d/1-uDff_7J0KD5mKrp0Vvzr7lt3OU09vwQwhkpOPPYv2Y/edit?usp=sharing"",""งบพรบ!BL29"")"),0)</f>
        <v>0</v>
      </c>
      <c r="N130" s="723">
        <f ca="1">IFERROR(__xludf.DUMMYFUNCTION("IMPORTRANGE(""https://docs.google.com/spreadsheets/d/1-uDff_7J0KD5mKrp0Vvzr7lt3OU09vwQwhkpOPPYv2Y/edit?usp=sharing"",""งบพรบ!BN29"")"),0)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IFERROR(__xludf.DUMMYFUNCTION("IMPORTRANGE(""https://docs.google.com/spreadsheets/d/1-uDff_7J0KD5mKrp0Vvzr7lt3OU09vwQwhkpOPPYv2Y/edit?usp=sharing"",""งบพรบ!BJ29"")"),0)</f>
        <v>0</v>
      </c>
      <c r="M133" s="723">
        <f ca="1">IFERROR(__xludf.DUMMYFUNCTION("IMPORTRANGE(""https://docs.google.com/spreadsheets/d/1-uDff_7J0KD5mKrp0Vvzr7lt3OU09vwQwhkpOPPYv2Y/edit?usp=sharing"",""งบพรบ!BM29"")"),0)</f>
        <v>0</v>
      </c>
      <c r="N133" s="723">
        <f ca="1">IFERROR(__xludf.DUMMYFUNCTION("IMPORTRANGE(""https://docs.google.com/spreadsheets/d/1-uDff_7J0KD5mKrp0Vvzr7lt3OU09vwQwhkpOPPYv2Y/edit?usp=sharing"",""งบพรบ!BO29"")"),0)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1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20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2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136400</v>
      </c>
      <c r="M139" s="577">
        <f ca="1">M140+M141</f>
        <v>106900</v>
      </c>
      <c r="N139" s="577">
        <f ca="1">N140+N141</f>
        <v>60897.63</v>
      </c>
      <c r="O139" s="577">
        <f ca="1">IF(L139&gt;0,N139*100/L139,0)</f>
        <v>44.646356304985339</v>
      </c>
      <c r="P139" s="577">
        <f ca="1">IF(M139&gt;0,N139*100/M139,0)</f>
        <v>56.966913002806358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136400</v>
      </c>
      <c r="M141" s="425">
        <f ca="1">M144+M147</f>
        <v>106900</v>
      </c>
      <c r="N141" s="425">
        <f ca="1">N144+N147</f>
        <v>60897.63</v>
      </c>
      <c r="O141" s="425">
        <f ca="1">IF(L141&gt;0,N141*100/L141,0)</f>
        <v>44.646356304985339</v>
      </c>
      <c r="P141" s="425">
        <f ca="1">IF(M141&gt;0,N141*100/M141,0)</f>
        <v>56.966913002806358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136400</v>
      </c>
      <c r="M142" s="425">
        <f ca="1">M143+M144</f>
        <v>106900</v>
      </c>
      <c r="N142" s="425">
        <f ca="1">N143+N144</f>
        <v>60897.63</v>
      </c>
      <c r="O142" s="425">
        <f ca="1">IF(L142&gt;0,N142*100/L142,0)</f>
        <v>44.646356304985339</v>
      </c>
      <c r="P142" s="425">
        <f ca="1">IF(M142&gt;0,N142*100/M142,0)</f>
        <v>56.966913002806358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IFERROR(__xludf.DUMMYFUNCTION("IMPORTRANGE(""https://docs.google.com/spreadsheets/d/1-uDff_7J0KD5mKrp0Vvzr7lt3OU09vwQwhkpOPPYv2Y/edit?usp=sharing"",""งบพรบ!BQ29"")"),136400)</f>
        <v>136400</v>
      </c>
      <c r="M144" s="425">
        <f ca="1">IFERROR(__xludf.DUMMYFUNCTION("IMPORTRANGE(""https://docs.google.com/spreadsheets/d/1-uDff_7J0KD5mKrp0Vvzr7lt3OU09vwQwhkpOPPYv2Y/edit?usp=sharing"",""งบพรบ!BV29"")"),106900)</f>
        <v>106900</v>
      </c>
      <c r="N144" s="425">
        <f ca="1">IFERROR(__xludf.DUMMYFUNCTION("IMPORTRANGE(""https://docs.google.com/spreadsheets/d/1-uDff_7J0KD5mKrp0Vvzr7lt3OU09vwQwhkpOPPYv2Y/edit?usp=sharing"",""งบพรบ!BX29"")"),60897.63)</f>
        <v>60897.63</v>
      </c>
      <c r="O144" s="425">
        <f ca="1">IF(L144&gt;0,N144*100/L144,0)</f>
        <v>44.646356304985339</v>
      </c>
      <c r="P144" s="425">
        <f ca="1">IF(M144&gt;0,N144*100/M144,0)</f>
        <v>56.966913002806358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IFERROR(__xludf.DUMMYFUNCTION("IMPORTRANGE(""https://docs.google.com/spreadsheets/d/1-uDff_7J0KD5mKrp0Vvzr7lt3OU09vwQwhkpOPPYv2Y/edit?usp=sharing"",""งบพรบ!BT29"")"),0)</f>
        <v>0</v>
      </c>
      <c r="M147" s="425">
        <f ca="1">IFERROR(__xludf.DUMMYFUNCTION("IMPORTRANGE(""https://docs.google.com/spreadsheets/d/1-uDff_7J0KD5mKrp0Vvzr7lt3OU09vwQwhkpOPPYv2Y/edit?usp=sharing"",""งบพรบ!BW29"")"),0)</f>
        <v>0</v>
      </c>
      <c r="N147" s="425">
        <f ca="1">IFERROR(__xludf.DUMMYFUNCTION("IMPORTRANGE(""https://docs.google.com/spreadsheets/d/1-uDff_7J0KD5mKrp0Vvzr7lt3OU09vwQwhkpOPPYv2Y/edit?usp=sharing"",""งบพรบ!BY29"")"),0)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IFERROR(__xludf.DUMMYFUNCTION("IMPORTRANGE(""https://docs.google.com/spreadsheets/d/1eHaY18a8A9IcSdp1K8H6x8fbOy06t2VsZHhMHf-1x7Y/edit?usp=sharing"",""แผน!U29"")"),10)</f>
        <v>10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IFERROR(__xludf.DUMMYFUNCTION("IMPORTRANGE(""https://docs.google.com/spreadsheets/d/1eHaY18a8A9IcSdp1K8H6x8fbOy06t2VsZHhMHf-1x7Y/edit?usp=sharing"",""แผน!V29"")"),1)</f>
        <v>1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IFERROR(__xludf.DUMMYFUNCTION("IMPORTRANGE(""https://docs.google.com/spreadsheets/d/1eHaY18a8A9IcSdp1K8H6x8fbOy06t2VsZHhMHf-1x7Y/edit?usp=sharing"",""แผน!W29"")"),20)</f>
        <v>20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IFERROR(__xludf.DUMMYFUNCTION("IMPORTRANGE(""https://docs.google.com/spreadsheets/d/1eHaY18a8A9IcSdp1K8H6x8fbOy06t2VsZHhMHf-1x7Y/edit?usp=sharing"",""แผน!X29"")"),2)</f>
        <v>2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IFERROR(__xludf.DUMMYFUNCTION("IMPORTRANGE(""https://docs.google.com/spreadsheets/d/1eHaY18a8A9IcSdp1K8H6x8fbOy06t2VsZHhMHf-1x7Y/edit?usp=sharing"",""แผน!Y29"")"),1)</f>
        <v>1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hidden="1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I169</f>
        <v>0</v>
      </c>
      <c r="J156" s="705">
        <f>J169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hidden="1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hidden="1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hidden="1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IFERROR(__xludf.DUMMYFUNCTION("IMPORTRANGE(""https://docs.google.com/spreadsheets/d/1-uDff_7J0KD5mKrp0Vvzr7lt3OU09vwQwhkpOPPYv2Y/edit?usp=sharing"",""งบพรบ!CA29"")"),0)</f>
        <v>0</v>
      </c>
      <c r="M162" s="425">
        <f ca="1">IFERROR(__xludf.DUMMYFUNCTION("IMPORTRANGE(""https://docs.google.com/spreadsheets/d/1-uDff_7J0KD5mKrp0Vvzr7lt3OU09vwQwhkpOPPYv2Y/edit?usp=sharing"",""งบพรบ!CF29"")"),0)</f>
        <v>0</v>
      </c>
      <c r="N162" s="425">
        <f ca="1">IFERROR(__xludf.DUMMYFUNCTION("IMPORTRANGE(""https://docs.google.com/spreadsheets/d/1-uDff_7J0KD5mKrp0Vvzr7lt3OU09vwQwhkpOPPYv2Y/edit?usp=sharing"",""งบพรบ!CH29"")"),0)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hidden="1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IFERROR(__xludf.DUMMYFUNCTION("IMPORTRANGE(""https://docs.google.com/spreadsheets/d/1-uDff_7J0KD5mKrp0Vvzr7lt3OU09vwQwhkpOPPYv2Y/edit?usp=sharing"",""งบพรบ!CD29"")"),0)</f>
        <v>0</v>
      </c>
      <c r="M165" s="425">
        <f ca="1">IFERROR(__xludf.DUMMYFUNCTION("IMPORTRANGE(""https://docs.google.com/spreadsheets/d/1-uDff_7J0KD5mKrp0Vvzr7lt3OU09vwQwhkpOPPYv2Y/edit?usp=sharing"",""งบพรบ!CG29"")"),0)</f>
        <v>0</v>
      </c>
      <c r="N165" s="425">
        <f ca="1">IFERROR(__xludf.DUMMYFUNCTION("IMPORTRANGE(""https://docs.google.com/spreadsheets/d/1-uDff_7J0KD5mKrp0Vvzr7lt3OU09vwQwhkpOPPYv2Y/edit?usp=sharing"",""งบพรบ!CI29"")"),0)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IFERROR(__xludf.DUMMYFUNCTION("IMPORTRANGE(""https://docs.google.com/spreadsheets/d/1eHaY18a8A9IcSdp1K8H6x8fbOy06t2VsZHhMHf-1x7Y/edit?usp=sharing"",""แผน!Z29"")"),0)</f>
        <v>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IFERROR(__xludf.DUMMYFUNCTION("IMPORTRANGE(""https://docs.google.com/spreadsheets/d/1eHaY18a8A9IcSdp1K8H6x8fbOy06t2VsZHhMHf-1x7Y/edit?usp=sharing"",""แผน!Z29"")"),0)</f>
        <v>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IFERROR(__xludf.DUMMYFUNCTION("IMPORTRANGE(""https://docs.google.com/spreadsheets/d/1eHaY18a8A9IcSdp1K8H6x8fbOy06t2VsZHhMHf-1x7Y/edit?usp=sharing"",""แผน!Z29"")"),0)</f>
        <v>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70460</v>
      </c>
      <c r="N173" s="577">
        <f ca="1">N174+N175</f>
        <v>13140</v>
      </c>
      <c r="O173" s="577">
        <f ca="1">IF(L173&gt;0,N173*100/L173,0)</f>
        <v>67.075038284839209</v>
      </c>
      <c r="P173" s="577">
        <f ca="1">IF(M173&gt;0,N173*100/M173,0)</f>
        <v>18.648878796480272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70460</v>
      </c>
      <c r="N175" s="425">
        <f ca="1">N178+N181</f>
        <v>13140</v>
      </c>
      <c r="O175" s="425">
        <f ca="1">IF(L175&gt;0,N175*100/L175,0)</f>
        <v>67.075038284839209</v>
      </c>
      <c r="P175" s="425">
        <f ca="1">IF(M175&gt;0,N175*100/M175,0)</f>
        <v>18.648878796480272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70460</v>
      </c>
      <c r="N176" s="425">
        <f ca="1">N177+N178</f>
        <v>13140</v>
      </c>
      <c r="O176" s="425">
        <f ca="1">IF(L176&gt;0,N176*100/L176,0)</f>
        <v>67.075038284839209</v>
      </c>
      <c r="P176" s="425">
        <f ca="1">IF(M176&gt;0,N176*100/M176,0)</f>
        <v>18.648878796480272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IFERROR(__xludf.DUMMYFUNCTION("IMPORTRANGE(""https://docs.google.com/spreadsheets/d/1-uDff_7J0KD5mKrp0Vvzr7lt3OU09vwQwhkpOPPYv2Y/edit?usp=sharing"",""งบพรบ!CK29"")"),19590)</f>
        <v>19590</v>
      </c>
      <c r="M178" s="425">
        <f ca="1">IFERROR(__xludf.DUMMYFUNCTION("IMPORTRANGE(""https://docs.google.com/spreadsheets/d/1-uDff_7J0KD5mKrp0Vvzr7lt3OU09vwQwhkpOPPYv2Y/edit?usp=sharing"",""งบพรบ!CP29"")"),70460)</f>
        <v>70460</v>
      </c>
      <c r="N178" s="425">
        <f ca="1">IFERROR(__xludf.DUMMYFUNCTION("IMPORTRANGE(""https://docs.google.com/spreadsheets/d/1-uDff_7J0KD5mKrp0Vvzr7lt3OU09vwQwhkpOPPYv2Y/edit?usp=sharing"",""งบพรบ!CR29"")"),13140)</f>
        <v>13140</v>
      </c>
      <c r="O178" s="425">
        <f ca="1">IF(L178&gt;0,N178*100/L178,0)</f>
        <v>67.075038284839209</v>
      </c>
      <c r="P178" s="425">
        <f ca="1">IF(M178&gt;0,N178*100/M178,0)</f>
        <v>18.648878796480272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IFERROR(__xludf.DUMMYFUNCTION("IMPORTRANGE(""https://docs.google.com/spreadsheets/d/1-uDff_7J0KD5mKrp0Vvzr7lt3OU09vwQwhkpOPPYv2Y/edit?usp=sharing"",""งบพรบ!CN29"")"),0)</f>
        <v>0</v>
      </c>
      <c r="M181" s="425">
        <f ca="1">IFERROR(__xludf.DUMMYFUNCTION("IMPORTRANGE(""https://docs.google.com/spreadsheets/d/1-uDff_7J0KD5mKrp0Vvzr7lt3OU09vwQwhkpOPPYv2Y/edit?usp=sharing"",""งบพรบ!CQ29"")"),0)</f>
        <v>0</v>
      </c>
      <c r="N181" s="425">
        <f ca="1">IFERROR(__xludf.DUMMYFUNCTION("IMPORTRANGE(""https://docs.google.com/spreadsheets/d/1-uDff_7J0KD5mKrp0Vvzr7lt3OU09vwQwhkpOPPYv2Y/edit?usp=sharing"",""งบพรบ!CS29"")"),0)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IFERROR(__xludf.DUMMYFUNCTION("IMPORTRANGE(""https://docs.google.com/spreadsheets/d/1eHaY18a8A9IcSdp1K8H6x8fbOy06t2VsZHhMHf-1x7Y/edit?usp=sharing"",""แผน!AA29"")"),7)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161500</v>
      </c>
      <c r="M186" s="577">
        <f ca="1">M187+M188</f>
        <v>105500</v>
      </c>
      <c r="N186" s="577">
        <f ca="1">N187+N188</f>
        <v>25566</v>
      </c>
      <c r="O186" s="577">
        <f ca="1">IF(L186&gt;0,N186*100/L186,0)</f>
        <v>15.830340557275543</v>
      </c>
      <c r="P186" s="577">
        <f ca="1">IF(M186&gt;0,N186*100/M186,0)</f>
        <v>24.233175355450236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161500</v>
      </c>
      <c r="M188" s="425">
        <f ca="1">M191+M194</f>
        <v>105500</v>
      </c>
      <c r="N188" s="425">
        <f ca="1">N191+N194</f>
        <v>25566</v>
      </c>
      <c r="O188" s="425">
        <f ca="1">IF(L188&gt;0,N188*100/L188,0)</f>
        <v>15.830340557275543</v>
      </c>
      <c r="P188" s="425">
        <f ca="1">IF(M188&gt;0,N188*100/M188,0)</f>
        <v>24.233175355450236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161500</v>
      </c>
      <c r="M189" s="425">
        <f ca="1">M190+M191</f>
        <v>105500</v>
      </c>
      <c r="N189" s="425">
        <f ca="1">N190+N191</f>
        <v>25566</v>
      </c>
      <c r="O189" s="425">
        <f ca="1">IF(L189&gt;0,N189*100/L189,0)</f>
        <v>15.830340557275543</v>
      </c>
      <c r="P189" s="425">
        <f ca="1">IF(M189&gt;0,N189*100/M189,0)</f>
        <v>24.233175355450236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IFERROR(__xludf.DUMMYFUNCTION("IMPORTRANGE(""https://docs.google.com/spreadsheets/d/1-uDff_7J0KD5mKrp0Vvzr7lt3OU09vwQwhkpOPPYv2Y/edit?usp=sharing"",""งบพรบ!CU29"")"),161500)</f>
        <v>161500</v>
      </c>
      <c r="M191" s="425">
        <f ca="1">IFERROR(__xludf.DUMMYFUNCTION("IMPORTRANGE(""https://docs.google.com/spreadsheets/d/1-uDff_7J0KD5mKrp0Vvzr7lt3OU09vwQwhkpOPPYv2Y/edit?usp=sharing"",""งบพรบ!CZ29"")"),105500)</f>
        <v>105500</v>
      </c>
      <c r="N191" s="425">
        <f ca="1">IFERROR(__xludf.DUMMYFUNCTION("IMPORTRANGE(""https://docs.google.com/spreadsheets/d/1-uDff_7J0KD5mKrp0Vvzr7lt3OU09vwQwhkpOPPYv2Y/edit?usp=sharing"",""งบพรบ!DB29"")"),25566)</f>
        <v>25566</v>
      </c>
      <c r="O191" s="425">
        <f ca="1">IF(L191&gt;0,N191*100/L191,0)</f>
        <v>15.830340557275543</v>
      </c>
      <c r="P191" s="425">
        <f ca="1">IF(M191&gt;0,N191*100/M191,0)</f>
        <v>24.233175355450236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IFERROR(__xludf.DUMMYFUNCTION("IMPORTRANGE(""https://docs.google.com/spreadsheets/d/1-uDff_7J0KD5mKrp0Vvzr7lt3OU09vwQwhkpOPPYv2Y/edit?usp=sharing"",""งบพรบ!CX29"")"),0)</f>
        <v>0</v>
      </c>
      <c r="M194" s="425">
        <f ca="1">IFERROR(__xludf.DUMMYFUNCTION("IMPORTRANGE(""https://docs.google.com/spreadsheets/d/1-uDff_7J0KD5mKrp0Vvzr7lt3OU09vwQwhkpOPPYv2Y/edit?usp=sharing"",""งบพรบ!DA29"")"),0)</f>
        <v>0</v>
      </c>
      <c r="N194" s="425">
        <f ca="1">IFERROR(__xludf.DUMMYFUNCTION("IMPORTRANGE(""https://docs.google.com/spreadsheets/d/1-uDff_7J0KD5mKrp0Vvzr7lt3OU09vwQwhkpOPPYv2Y/edit?usp=sharing"",""งบพรบ!DC29"")"),0)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IFERROR(__xludf.DUMMYFUNCTION("IMPORTRANGE(""https://docs.google.com/spreadsheets/d/1eHaY18a8A9IcSdp1K8H6x8fbOy06t2VsZHhMHf-1x7Y/edit?usp=sharing"",""แผน!AB29"")"),6000)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IFERROR(__xludf.DUMMYFUNCTION("IMPORTRANGE(""https://docs.google.com/spreadsheets/d/1eHaY18a8A9IcSdp1K8H6x8fbOy06t2VsZHhMHf-1x7Y/edit?usp=sharing"",""แผน!AE29"")"),4)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3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44000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IFERROR(__xludf.DUMMYFUNCTION("IMPORTRANGE(""https://docs.google.com/spreadsheets/d/1eHaY18a8A9IcSdp1K8H6x8fbOy06t2VsZHhMHf-1x7Y/edit?usp=sharing"",""แผน!AG29"")"),3000)</f>
        <v>3000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IFERROR(__xludf.DUMMYFUNCTION("IMPORTRANGE(""https://docs.google.com/spreadsheets/d/1eHaY18a8A9IcSdp1K8H6x8fbOy06t2VsZHhMHf-1x7Y/edit?usp=sharing"",""แผน!AH29"")"),0)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IFERROR(__xludf.DUMMYFUNCTION("IMPORTRANGE(""https://docs.google.com/spreadsheets/d/1eHaY18a8A9IcSdp1K8H6x8fbOy06t2VsZHhMHf-1x7Y/edit?usp=sharing"",""แผน!AI29"")"),24000)</f>
        <v>24000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IFERROR(__xludf.DUMMYFUNCTION("IMPORTRANGE(""https://docs.google.com/spreadsheets/d/1eHaY18a8A9IcSdp1K8H6x8fbOy06t2VsZHhMHf-1x7Y/edit?usp=sharing"",""แผน!AJ29"")"),17000)</f>
        <v>17000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IFERROR(__xludf.DUMMYFUNCTION("IMPORTRANGE(""https://docs.google.com/spreadsheets/d/1eHaY18a8A9IcSdp1K8H6x8fbOy06t2VsZHhMHf-1x7Y/edit?usp=sharing"",""แผน!AK29"")"),3)</f>
        <v>3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IFERROR(__xludf.DUMMYFUNCTION("IMPORTRANGE(""https://docs.google.com/spreadsheets/d/1eHaY18a8A9IcSdp1K8H6x8fbOy06t2VsZHhMHf-1x7Y/edit?usp=sharing"",""แผน!JX29"")"),3)</f>
        <v>3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IFERROR(__xludf.DUMMYFUNCTION("IMPORTRANGE(""https://docs.google.com/spreadsheets/d/1eHaY18a8A9IcSdp1K8H6x8fbOy06t2VsZHhMHf-1x7Y/edit?usp=sharing"",""แผน!JY29"")"),1)</f>
        <v>1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1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14000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IFERROR(__xludf.DUMMYFUNCTION("IMPORTRANGE(""https://docs.google.com/spreadsheets/d/1eHaY18a8A9IcSdp1K8H6x8fbOy06t2VsZHhMHf-1x7Y/edit?usp=sharing"",""แผน!AM29"")"),1000)</f>
        <v>1000</v>
      </c>
      <c r="M215" s="428"/>
      <c r="N215" s="683">
        <v>0</v>
      </c>
      <c r="O215" s="525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IFERROR(__xludf.DUMMYFUNCTION("IMPORTRANGE(""https://docs.google.com/spreadsheets/d/1eHaY18a8A9IcSdp1K8H6x8fbOy06t2VsZHhMHf-1x7Y/edit?usp=sharing"",""แผน!AN29"")"),5000)</f>
        <v>5000</v>
      </c>
      <c r="M216" s="428"/>
      <c r="N216" s="683">
        <v>0</v>
      </c>
      <c r="O216" s="525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IFERROR(__xludf.DUMMYFUNCTION("IMPORTRANGE(""https://docs.google.com/spreadsheets/d/1eHaY18a8A9IcSdp1K8H6x8fbOy06t2VsZHhMHf-1x7Y/edit?usp=sharing"",""แผน!AO29"")"),8000)</f>
        <v>8000</v>
      </c>
      <c r="M217" s="428"/>
      <c r="N217" s="683">
        <v>0</v>
      </c>
      <c r="O217" s="525"/>
      <c r="P217" s="428"/>
    </row>
    <row r="218" spans="1:16" ht="19.5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IFERROR(__xludf.DUMMYFUNCTION("IMPORTRANGE(""https://docs.google.com/spreadsheets/d/1eHaY18a8A9IcSdp1K8H6x8fbOy06t2VsZHhMHf-1x7Y/edit?usp=sharing"",""แผน!AP29"")"),1)</f>
        <v>1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IFERROR(__xludf.DUMMYFUNCTION("IMPORTRANGE(""https://docs.google.com/spreadsheets/d/1eHaY18a8A9IcSdp1K8H6x8fbOy06t2VsZHhMHf-1x7Y/edit?usp=sharing"",""แผน!AP29"")"),1)</f>
        <v>1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30000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6500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IFERROR(__xludf.DUMMYFUNCTION("IMPORTRANGE(""https://docs.google.com/spreadsheets/d/1eHaY18a8A9IcSdp1K8H6x8fbOy06t2VsZHhMHf-1x7Y/edit?usp=sharing"",""แผน!AR29"")"),5000)</f>
        <v>5000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IFERROR(__xludf.DUMMYFUNCTION("IMPORTRANGE(""https://docs.google.com/spreadsheets/d/1eHaY18a8A9IcSdp1K8H6x8fbOy06t2VsZHhMHf-1x7Y/edit?usp=sharing"",""แผน!AS29"")"),1500)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IFERROR(__xludf.DUMMYFUNCTION("IMPORTRANGE(""https://docs.google.com/spreadsheets/d/1eHaY18a8A9IcSdp1K8H6x8fbOy06t2VsZHhMHf-1x7Y/edit?usp=sharing"",""แผน!AT29"")"),0)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IFERROR(__xludf.DUMMYFUNCTION("IMPORTRANGE(""https://docs.google.com/spreadsheets/d/1eHaY18a8A9IcSdp1K8H6x8fbOy06t2VsZHhMHf-1x7Y/edit?usp=sharing"",""แผน!AV29"")"),30000)</f>
        <v>30000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IFERROR(__xludf.DUMMYFUNCTION("IMPORTRANGE(""https://docs.google.com/spreadsheets/d/1eHaY18a8A9IcSdp1K8H6x8fbOy06t2VsZHhMHf-1x7Y/edit?usp=sharing"",""แผน!AV29"")"),30000)</f>
        <v>30000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IFERROR(__xludf.DUMMYFUNCTION("IMPORTRANGE(""https://docs.google.com/spreadsheets/d/1eHaY18a8A9IcSdp1K8H6x8fbOy06t2VsZHhMHf-1x7Y/edit?usp=sharing"",""แผน!AU29"")"),0)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IFERROR(__xludf.DUMMYFUNCTION("IMPORTRANGE(""https://docs.google.com/spreadsheets/d/1eHaY18a8A9IcSdp1K8H6x8fbOy06t2VsZHhMHf-1x7Y/edit?usp=sharing"",""แผน!AX29"")"),0)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IFERROR(__xludf.DUMMYFUNCTION("IMPORTRANGE(""https://docs.google.com/spreadsheets/d/1eHaY18a8A9IcSdp1K8H6x8fbOy06t2VsZHhMHf-1x7Y/edit?usp=sharing"",""แผน!AY29"")"),0)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IFERROR(__xludf.DUMMYFUNCTION("IMPORTRANGE(""https://docs.google.com/spreadsheets/d/1eHaY18a8A9IcSdp1K8H6x8fbOy06t2VsZHhMHf-1x7Y/edit?usp=sharing"",""แผน!AZ29"")"),0)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IFERROR(__xludf.DUMMYFUNCTION("IMPORTRANGE(""https://docs.google.com/spreadsheets/d/1eHaY18a8A9IcSdp1K8H6x8fbOy06t2VsZHhMHf-1x7Y/edit?usp=sharing"",""แผน!BA29"")"),0)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IFERROR(__xludf.DUMMYFUNCTION("IMPORTRANGE(""https://docs.google.com/spreadsheets/d/1eHaY18a8A9IcSdp1K8H6x8fbOy06t2VsZHhMHf-1x7Y/edit?usp=sharing"",""แผน!BG29"")"),0)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IFERROR(__xludf.DUMMYFUNCTION("IMPORTRANGE(""https://docs.google.com/spreadsheets/d/1eHaY18a8A9IcSdp1K8H6x8fbOy06t2VsZHhMHf-1x7Y/edit?usp=sharing"",""แผน!BB29"")"),0)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IFERROR(__xludf.DUMMYFUNCTION("IMPORTRANGE(""https://docs.google.com/spreadsheets/d/1eHaY18a8A9IcSdp1K8H6x8fbOy06t2VsZHhMHf-1x7Y/edit?usp=sharing"",""แผน!BC29"")"),0)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IFERROR(__xludf.DUMMYFUNCTION("IMPORTRANGE(""https://docs.google.com/spreadsheets/d/1eHaY18a8A9IcSdp1K8H6x8fbOy06t2VsZHhMHf-1x7Y/edit?usp=sharing"",""แผน!BD29"")"),0)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IFERROR(__xludf.DUMMYFUNCTION("IMPORTRANGE(""https://docs.google.com/spreadsheets/d/1eHaY18a8A9IcSdp1K8H6x8fbOy06t2VsZHhMHf-1x7Y/edit?usp=sharing"",""แผน!BE29"")"),0)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IFERROR(__xludf.DUMMYFUNCTION("IMPORTRANGE(""https://docs.google.com/spreadsheets/d/1eHaY18a8A9IcSdp1K8H6x8fbOy06t2VsZHhMHf-1x7Y/edit?usp=sharing"",""แผน!BH29"")"),0)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IFERROR(__xludf.DUMMYFUNCTION("IMPORTRANGE(""https://docs.google.com/spreadsheets/d/1-uDff_7J0KD5mKrp0Vvzr7lt3OU09vwQwhkpOPPYv2Y/edit?usp=sharing"",""งบพรบ!DE29"")"),0)</f>
        <v>0</v>
      </c>
      <c r="M271" s="521">
        <f ca="1">IFERROR(__xludf.DUMMYFUNCTION("IMPORTRANGE(""https://docs.google.com/spreadsheets/d/1-uDff_7J0KD5mKrp0Vvzr7lt3OU09vwQwhkpOPPYv2Y/edit?usp=sharing"",""งบพรบ!DJ29"")"),0)</f>
        <v>0</v>
      </c>
      <c r="N271" s="521">
        <f ca="1">IFERROR(__xludf.DUMMYFUNCTION("IMPORTRANGE(""https://docs.google.com/spreadsheets/d/1-uDff_7J0KD5mKrp0Vvzr7lt3OU09vwQwhkpOPPYv2Y/edit?usp=sharing"",""งบพรบ!DL29"")"),0)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IFERROR(__xludf.DUMMYFUNCTION("IMPORTRANGE(""https://docs.google.com/spreadsheets/d/1-uDff_7J0KD5mKrp0Vvzr7lt3OU09vwQwhkpOPPYv2Y/edit?usp=sharing"",""งบพรบ!DH29"")"),0)</f>
        <v>0</v>
      </c>
      <c r="M274" s="521">
        <f ca="1">IFERROR(__xludf.DUMMYFUNCTION("IMPORTRANGE(""https://docs.google.com/spreadsheets/d/1-uDff_7J0KD5mKrp0Vvzr7lt3OU09vwQwhkpOPPYv2Y/edit?usp=sharing"",""งบพรบ!DK29"")"),0)</f>
        <v>0</v>
      </c>
      <c r="N274" s="521">
        <f ca="1">IFERROR(__xludf.DUMMYFUNCTION("IMPORTRANGE(""https://docs.google.com/spreadsheets/d/1-uDff_7J0KD5mKrp0Vvzr7lt3OU09vwQwhkpOPPYv2Y/edit?usp=sharing"",""งบพรบ!DM29"")"),0)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20</v>
      </c>
      <c r="J280" s="629">
        <f>J293</f>
        <v>0</v>
      </c>
      <c r="K280" s="628">
        <f ca="1">IF(I280&gt;0,J280*100/I280,0)</f>
        <v>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200</v>
      </c>
      <c r="J281" s="629">
        <f>J292</f>
        <v>0</v>
      </c>
      <c r="K281" s="628">
        <f ca="1">IF(I281&gt;0,J281*100/I281,0)</f>
        <v>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71120</v>
      </c>
      <c r="M282" s="577">
        <f ca="1">M283+M284</f>
        <v>59480</v>
      </c>
      <c r="N282" s="577">
        <f ca="1">N283+N284</f>
        <v>0</v>
      </c>
      <c r="O282" s="577">
        <f ca="1">IF(L282&gt;0,N282*100/L282,0)</f>
        <v>0</v>
      </c>
      <c r="P282" s="577">
        <f ca="1">IF(M282&gt;0,N282*100/M282,0)</f>
        <v>0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71120</v>
      </c>
      <c r="M284" s="425">
        <f ca="1">M287+M290</f>
        <v>59480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71120</v>
      </c>
      <c r="M285" s="425">
        <f ca="1">M286+M287</f>
        <v>59480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IFERROR(__xludf.DUMMYFUNCTION("IMPORTRANGE(""https://docs.google.com/spreadsheets/d/1-uDff_7J0KD5mKrp0Vvzr7lt3OU09vwQwhkpOPPYv2Y/edit?usp=sharing"",""งบพรบ!DO29"")"),71120)</f>
        <v>71120</v>
      </c>
      <c r="M287" s="425">
        <f ca="1">IFERROR(__xludf.DUMMYFUNCTION("IMPORTRANGE(""https://docs.google.com/spreadsheets/d/1-uDff_7J0KD5mKrp0Vvzr7lt3OU09vwQwhkpOPPYv2Y/edit?usp=sharing"",""งบพรบ!DT29"")"),59480)</f>
        <v>59480</v>
      </c>
      <c r="N287" s="425">
        <f ca="1">IFERROR(__xludf.DUMMYFUNCTION("IMPORTRANGE(""https://docs.google.com/spreadsheets/d/1-uDff_7J0KD5mKrp0Vvzr7lt3OU09vwQwhkpOPPYv2Y/edit?usp=sharing"",""งบพรบ!DV29"")"),0)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IFERROR(__xludf.DUMMYFUNCTION("IMPORTRANGE(""https://docs.google.com/spreadsheets/d/1-uDff_7J0KD5mKrp0Vvzr7lt3OU09vwQwhkpOPPYv2Y/edit?usp=sharing"",""งบพรบ!DR29"")"),0)</f>
        <v>0</v>
      </c>
      <c r="M290" s="425">
        <f ca="1">IFERROR(__xludf.DUMMYFUNCTION("IMPORTRANGE(""https://docs.google.com/spreadsheets/d/1-uDff_7J0KD5mKrp0Vvzr7lt3OU09vwQwhkpOPPYv2Y/edit?usp=sharing"",""งบพรบ!DU29"")"),0)</f>
        <v>0</v>
      </c>
      <c r="N290" s="425">
        <f ca="1">IFERROR(__xludf.DUMMYFUNCTION("IMPORTRANGE(""https://docs.google.com/spreadsheets/d/1-uDff_7J0KD5mKrp0Vvzr7lt3OU09vwQwhkpOPPYv2Y/edit?usp=sharing"",""งบพรบ!DW29"")"),0)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IFERROR(__xludf.DUMMYFUNCTION("IMPORTRANGE(""https://docs.google.com/spreadsheets/d/1eHaY18a8A9IcSdp1K8H6x8fbOy06t2VsZHhMHf-1x7Y/edit?usp=sharing"",""แผน!EE29"")"),200)</f>
        <v>200</v>
      </c>
      <c r="J292" s="595">
        <v>0</v>
      </c>
      <c r="K292" s="621">
        <f ca="1">IF(I292&gt;0,J292*100/I292,0)</f>
        <v>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IFERROR(__xludf.DUMMYFUNCTION("IMPORTRANGE(""https://docs.google.com/spreadsheets/d/1eHaY18a8A9IcSdp1K8H6x8fbOy06t2VsZHhMHf-1x7Y/edit?usp=sharing"",""แผน!ED29"")"),20)</f>
        <v>20</v>
      </c>
      <c r="J293" s="625">
        <f>J296</f>
        <v>0</v>
      </c>
      <c r="K293" s="624">
        <f ca="1">IF(I293&gt;0,J293*100/I293,0)</f>
        <v>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IFERROR(__xludf.DUMMYFUNCTION("IMPORTRANGE(""https://docs.google.com/spreadsheets/d/1eHaY18a8A9IcSdp1K8H6x8fbOy06t2VsZHhMHf-1x7Y/edit?usp=sharing"",""แผน!ED29"")"),20)</f>
        <v>20</v>
      </c>
      <c r="J295" s="595">
        <v>0</v>
      </c>
      <c r="K295" s="621">
        <f ca="1">IF(I295&gt;0,J295*100/I295,0)</f>
        <v>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IFERROR(__xludf.DUMMYFUNCTION("IMPORTRANGE(""https://docs.google.com/spreadsheets/d/1eHaY18a8A9IcSdp1K8H6x8fbOy06t2VsZHhMHf-1x7Y/edit?usp=sharing"",""แผน!ED29"")"),20)</f>
        <v>20</v>
      </c>
      <c r="J296" s="595">
        <v>0</v>
      </c>
      <c r="K296" s="621">
        <f ca="1">IF(I296&gt;0,J296*100/I296,0)</f>
        <v>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184600</v>
      </c>
      <c r="M303" s="577">
        <f ca="1">M304+M305</f>
        <v>137400</v>
      </c>
      <c r="N303" s="577">
        <f ca="1">N304+N305</f>
        <v>29100</v>
      </c>
      <c r="O303" s="577">
        <f ca="1">IF(L303&gt;0,N303*100/L303,0)</f>
        <v>15.763813651137594</v>
      </c>
      <c r="P303" s="577">
        <f ca="1">IF(M303&gt;0,N303*100/M303,0)</f>
        <v>21.179039301310045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184600</v>
      </c>
      <c r="M305" s="425">
        <f ca="1">M308+M311</f>
        <v>137400</v>
      </c>
      <c r="N305" s="425">
        <f ca="1">N308+N311</f>
        <v>29100</v>
      </c>
      <c r="O305" s="425">
        <f ca="1">IF(L305&gt;0,N305*100/L305,0)</f>
        <v>15.763813651137594</v>
      </c>
      <c r="P305" s="425">
        <f ca="1">IF(M305&gt;0,N305*100/M305,0)</f>
        <v>21.179039301310045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184600</v>
      </c>
      <c r="M306" s="425">
        <f ca="1">M307+M308</f>
        <v>137400</v>
      </c>
      <c r="N306" s="425">
        <f ca="1">N307+N308</f>
        <v>29100</v>
      </c>
      <c r="O306" s="425">
        <f ca="1">IF(L306&gt;0,N306*100/L306,0)</f>
        <v>15.763813651137594</v>
      </c>
      <c r="P306" s="425">
        <f ca="1">IF(M306&gt;0,N306*100/M306,0)</f>
        <v>21.179039301310045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IFERROR(__xludf.DUMMYFUNCTION("IMPORTRANGE(""https://docs.google.com/spreadsheets/d/1-uDff_7J0KD5mKrp0Vvzr7lt3OU09vwQwhkpOPPYv2Y/edit?usp=sharing"",""งบพรบ!DY29"")"),184600)</f>
        <v>184600</v>
      </c>
      <c r="M308" s="425">
        <f ca="1">IFERROR(__xludf.DUMMYFUNCTION("IMPORTRANGE(""https://docs.google.com/spreadsheets/d/1-uDff_7J0KD5mKrp0Vvzr7lt3OU09vwQwhkpOPPYv2Y/edit?usp=sharing"",""งบพรบ!ED29"")"),137400)</f>
        <v>137400</v>
      </c>
      <c r="N308" s="425">
        <f ca="1">IFERROR(__xludf.DUMMYFUNCTION("IMPORTRANGE(""https://docs.google.com/spreadsheets/d/1-uDff_7J0KD5mKrp0Vvzr7lt3OU09vwQwhkpOPPYv2Y/edit?usp=sharing"",""งบพรบ!EF29"")"),29100)</f>
        <v>29100</v>
      </c>
      <c r="O308" s="425">
        <f ca="1">IF(L308&gt;0,N308*100/L308,0)</f>
        <v>15.763813651137594</v>
      </c>
      <c r="P308" s="425">
        <f ca="1">IF(M308&gt;0,N308*100/M308,0)</f>
        <v>21.179039301310045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IFERROR(__xludf.DUMMYFUNCTION("IMPORTRANGE(""https://docs.google.com/spreadsheets/d/1-uDff_7J0KD5mKrp0Vvzr7lt3OU09vwQwhkpOPPYv2Y/edit?usp=sharing"",""งบพรบ!EB29"")"),0)</f>
        <v>0</v>
      </c>
      <c r="M311" s="425">
        <f ca="1">IFERROR(__xludf.DUMMYFUNCTION("IMPORTRANGE(""https://docs.google.com/spreadsheets/d/1-uDff_7J0KD5mKrp0Vvzr7lt3OU09vwQwhkpOPPYv2Y/edit?usp=sharing"",""งบพรบ!EE29"")"),0)</f>
        <v>0</v>
      </c>
      <c r="N311" s="425">
        <f ca="1">IFERROR(__xludf.DUMMYFUNCTION("IMPORTRANGE(""https://docs.google.com/spreadsheets/d/1-uDff_7J0KD5mKrp0Vvzr7lt3OU09vwQwhkpOPPYv2Y/edit?usp=sharing"",""งบพรบ!EG29"")"),0)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IFERROR(__xludf.DUMMYFUNCTION("IMPORTRANGE(""https://docs.google.com/spreadsheets/d/1eHaY18a8A9IcSdp1K8H6x8fbOy06t2VsZHhMHf-1x7Y/edit?usp=sharing"",""แผน!EF29"")"),20)</f>
        <v>20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IFERROR(__xludf.DUMMYFUNCTION("IMPORTRANGE(""https://docs.google.com/spreadsheets/d/1eHaY18a8A9IcSdp1K8H6x8fbOy06t2VsZHhMHf-1x7Y/edit?usp=sharing"",""แผน!EG29"")"),4)</f>
        <v>4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IFERROR(__xludf.DUMMYFUNCTION("IMPORTRANGE(""https://docs.google.com/spreadsheets/d/1eHaY18a8A9IcSdp1K8H6x8fbOy06t2VsZHhMHf-1x7Y/edit?usp=sharing"",""แผน!EH29"")"),20)</f>
        <v>20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IFERROR(__xludf.DUMMYFUNCTION("IMPORTRANGE(""https://docs.google.com/spreadsheets/d/1eHaY18a8A9IcSdp1K8H6x8fbOy06t2VsZHhMHf-1x7Y/edit?usp=sharing"",""แผน!EI29"")"),4)</f>
        <v>4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hidden="1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0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hidden="1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0</v>
      </c>
      <c r="M320" s="577">
        <f ca="1">M321+M322</f>
        <v>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hidden="1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hidden="1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IFERROR(__xludf.DUMMYFUNCTION("IMPORTRANGE(""https://docs.google.com/spreadsheets/d/1-uDff_7J0KD5mKrp0Vvzr7lt3OU09vwQwhkpOPPYv2Y/edit?usp=sharing"",""งบพรบ!EI29"")"),0)</f>
        <v>0</v>
      </c>
      <c r="M325" s="425">
        <f ca="1">IFERROR(__xludf.DUMMYFUNCTION("IMPORTRANGE(""https://docs.google.com/spreadsheets/d/1-uDff_7J0KD5mKrp0Vvzr7lt3OU09vwQwhkpOPPYv2Y/edit?usp=sharing"",""งบพรบ!EN29"")"),0)</f>
        <v>0</v>
      </c>
      <c r="N325" s="425">
        <f ca="1">IFERROR(__xludf.DUMMYFUNCTION("IMPORTRANGE(""https://docs.google.com/spreadsheets/d/1-uDff_7J0KD5mKrp0Vvzr7lt3OU09vwQwhkpOPPYv2Y/edit?usp=sharing"",""งบพรบ!EP29"")"),0)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hidden="1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IFERROR(__xludf.DUMMYFUNCTION("IMPORTRANGE(""https://docs.google.com/spreadsheets/d/1-uDff_7J0KD5mKrp0Vvzr7lt3OU09vwQwhkpOPPYv2Y/edit?usp=sharing"",""งบพรบ!EL29"")"),0)</f>
        <v>0</v>
      </c>
      <c r="M328" s="425">
        <f ca="1">IFERROR(__xludf.DUMMYFUNCTION("IMPORTRANGE(""https://docs.google.com/spreadsheets/d/1-uDff_7J0KD5mKrp0Vvzr7lt3OU09vwQwhkpOPPYv2Y/edit?usp=sharing"",""งบพรบ!EO29"")"),0)</f>
        <v>0</v>
      </c>
      <c r="N328" s="425">
        <f ca="1">IFERROR(__xludf.DUMMYFUNCTION("IMPORTRANGE(""https://docs.google.com/spreadsheets/d/1-uDff_7J0KD5mKrp0Vvzr7lt3OU09vwQwhkpOPPYv2Y/edit?usp=sharing"",""งบพรบ!EQ29"")"),0)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hidden="1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IFERROR(__xludf.DUMMYFUNCTION("IMPORTRANGE(""https://docs.google.com/spreadsheets/d/1eHaY18a8A9IcSdp1K8H6x8fbOy06t2VsZHhMHf-1x7Y/edit?usp=sharing"",""แผน!EJ29"")"),0)</f>
        <v>0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1200</v>
      </c>
      <c r="J332" s="402">
        <f ca="1">J344+J347+J348+J349+J353</f>
        <v>1657</v>
      </c>
      <c r="K332" s="403">
        <f ca="1">IF(I332&gt;0,J332*100/I332,0)</f>
        <v>138.08333333333334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111000</v>
      </c>
      <c r="M333" s="577">
        <f ca="1">M334+M335</f>
        <v>88150</v>
      </c>
      <c r="N333" s="577">
        <f ca="1">N334+N335</f>
        <v>29255</v>
      </c>
      <c r="O333" s="577">
        <f ca="1">IF(L333&gt;0,N333*100/L333,0)</f>
        <v>26.355855855855857</v>
      </c>
      <c r="P333" s="577">
        <f ca="1">IF(M333&gt;0,N333*100/M333,0)</f>
        <v>33.187748156551336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111000</v>
      </c>
      <c r="M335" s="425">
        <f ca="1">M338+M341</f>
        <v>88150</v>
      </c>
      <c r="N335" s="425">
        <f ca="1">N338+N341</f>
        <v>29255</v>
      </c>
      <c r="O335" s="425">
        <f ca="1">IF(L335&gt;0,N335*100/L335,0)</f>
        <v>26.355855855855857</v>
      </c>
      <c r="P335" s="425">
        <f ca="1">IF(M335&gt;0,N335*100/M335,0)</f>
        <v>33.187748156551336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111000</v>
      </c>
      <c r="M336" s="425">
        <f ca="1">M337+M338</f>
        <v>88150</v>
      </c>
      <c r="N336" s="425">
        <f ca="1">N337+N338</f>
        <v>29255</v>
      </c>
      <c r="O336" s="425">
        <f ca="1">IF(L336&gt;0,N336*100/L336,0)</f>
        <v>26.355855855855857</v>
      </c>
      <c r="P336" s="425">
        <f ca="1">IF(M336&gt;0,N336*100/M336,0)</f>
        <v>33.187748156551336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IFERROR(__xludf.DUMMYFUNCTION("IMPORTRANGE(""https://docs.google.com/spreadsheets/d/1-uDff_7J0KD5mKrp0Vvzr7lt3OU09vwQwhkpOPPYv2Y/edit?usp=sharing"",""งบพรบ!ES29"")"),111000)</f>
        <v>111000</v>
      </c>
      <c r="M338" s="425">
        <f ca="1">IFERROR(__xludf.DUMMYFUNCTION("IMPORTRANGE(""https://docs.google.com/spreadsheets/d/1-uDff_7J0KD5mKrp0Vvzr7lt3OU09vwQwhkpOPPYv2Y/edit?usp=sharing"",""งบพรบ!EX29"")"),88150)</f>
        <v>88150</v>
      </c>
      <c r="N338" s="425">
        <f ca="1">IFERROR(__xludf.DUMMYFUNCTION("IMPORTRANGE(""https://docs.google.com/spreadsheets/d/1-uDff_7J0KD5mKrp0Vvzr7lt3OU09vwQwhkpOPPYv2Y/edit?usp=sharing"",""งบพรบ!EZ29"")"),29255)</f>
        <v>29255</v>
      </c>
      <c r="O338" s="425">
        <f ca="1">IF(L338&gt;0,N338*100/L338,0)</f>
        <v>26.355855855855857</v>
      </c>
      <c r="P338" s="425">
        <f ca="1">IF(M338&gt;0,N338*100/M338,0)</f>
        <v>33.187748156551336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IFERROR(__xludf.DUMMYFUNCTION("IMPORTRANGE(""https://docs.google.com/spreadsheets/d/1-uDff_7J0KD5mKrp0Vvzr7lt3OU09vwQwhkpOPPYv2Y/edit?usp=sharing"",""งบพรบ!EV29"")"),0)</f>
        <v>0</v>
      </c>
      <c r="M341" s="425">
        <f ca="1">IFERROR(__xludf.DUMMYFUNCTION("IMPORTRANGE(""https://docs.google.com/spreadsheets/d/1-uDff_7J0KD5mKrp0Vvzr7lt3OU09vwQwhkpOPPYv2Y/edit?usp=sharing"",""งบพรบ!EY29"")"),0)</f>
        <v>0</v>
      </c>
      <c r="N341" s="425">
        <f ca="1">IFERROR(__xludf.DUMMYFUNCTION("IMPORTRANGE(""https://docs.google.com/spreadsheets/d/1-uDff_7J0KD5mKrp0Vvzr7lt3OU09vwQwhkpOPPYv2Y/edit?usp=sharing"",""งบพรบ!FA29"")"),0)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534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IFERROR(__xludf.DUMMYFUNCTION("IMPORTRANGE(""https://docs.google.com/spreadsheets/d/1eHaY18a8A9IcSdp1K8H6x8fbOy06t2VsZHhMHf-1x7Y/edit?usp=sharing"",""แผน!EK29"")"),1200)</f>
        <v>1200</v>
      </c>
      <c r="J344" s="424">
        <f ca="1">IFERROR(__xludf.DUMMYFUNCTION("IMPORTRANGE(""https://docs.google.com/spreadsheets/d/1awYsYK3VOup2i3Pq_Yjnu8DRu_mYwSBnCR2QPthd0rU/edit?usp=sharing"",""ศูนย์ยกเว้นโฉนด!D29"")"),534)</f>
        <v>534</v>
      </c>
      <c r="K344" s="425">
        <f ca="1">IF(I344&gt;0,J344*100/I344,0)</f>
        <v>44.5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IFERROR(__xludf.DUMMYFUNCTION("IMPORTRANGE(""https://docs.google.com/spreadsheets/d/1eHaY18a8A9IcSdp1K8H6x8fbOy06t2VsZHhMHf-1x7Y/edit?usp=sharing"",""แผน!EL29"")"),4)</f>
        <v>4</v>
      </c>
      <c r="J346" s="424">
        <f ca="1">IFERROR(__xludf.DUMMYFUNCTION("IMPORTRANGE(""https://docs.google.com/spreadsheets/d/1awYsYK3VOup2i3Pq_Yjnu8DRu_mYwSBnCR2QPthd0rU/edit?usp=sharing"",""ศูนย์รวม!E29"")"),2)</f>
        <v>2</v>
      </c>
      <c r="K346" s="425">
        <f ca="1">IF(I346&gt;0,J346*100/I346,0)</f>
        <v>50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IFERROR(__xludf.DUMMYFUNCTION("IMPORTRANGE(""https://docs.google.com/spreadsheets/d/1awYsYK3VOup2i3Pq_Yjnu8DRu_mYwSBnCR2QPthd0rU/edit?usp=sharing"",""ศูนย์ยกเว้นโฉนด!F29"")"),0)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IFERROR(__xludf.DUMMYFUNCTION("IMPORTRANGE(""https://docs.google.com/spreadsheets/d/1awYsYK3VOup2i3Pq_Yjnu8DRu_mYwSBnCR2QPthd0rU/edit?usp=sharing"",""ศูนย์ยกเว้นโฉนด!G29"")"),0)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IFERROR(__xludf.DUMMYFUNCTION("IMPORTRANGE(""https://docs.google.com/spreadsheets/d/1awYsYK3VOup2i3Pq_Yjnu8DRu_mYwSBnCR2QPthd0rU/edit?usp=sharing"",""ศูนย์ยกเว้นโฉนด!H29"")"),0)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1426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IFERROR(__xludf.DUMMYFUNCTION("IMPORTRANGE(""https://docs.google.com/spreadsheets/d/1awYsYK3VOup2i3Pq_Yjnu8DRu_mYwSBnCR2QPthd0rU/edit?usp=sharing"",""โฉนดM3!G29"")"),303)</f>
        <v>303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IFERROR(__xludf.DUMMYFUNCTION("IMPORTRANGE(""https://docs.google.com/spreadsheets/d/1awYsYK3VOup2i3Pq_Yjnu8DRu_mYwSBnCR2QPthd0rU/edit?usp=sharing"",""โฉนดM3!H29"")"),1123)</f>
        <v>1123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452160</v>
      </c>
      <c r="M356" s="577">
        <f ca="1">M357+M358</f>
        <v>369160</v>
      </c>
      <c r="N356" s="577">
        <f ca="1">N357+N358</f>
        <v>139323</v>
      </c>
      <c r="O356" s="577">
        <f ca="1">IF(L356&gt;0,N356*100/L356,0)</f>
        <v>30.812765392781316</v>
      </c>
      <c r="P356" s="577">
        <f ca="1">IF(M356&gt;0,N356*100/M356,0)</f>
        <v>37.740546104670059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452160</v>
      </c>
      <c r="M358" s="425">
        <f ca="1">M361+M364</f>
        <v>369160</v>
      </c>
      <c r="N358" s="425">
        <f ca="1">N361+N364</f>
        <v>139323</v>
      </c>
      <c r="O358" s="425">
        <f ca="1">IF(L358&gt;0,N358*100/L358,0)</f>
        <v>30.812765392781316</v>
      </c>
      <c r="P358" s="425">
        <f ca="1">IF(M358&gt;0,N358*100/M358,0)</f>
        <v>37.740546104670059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452160</v>
      </c>
      <c r="M359" s="425">
        <f ca="1">M360+M361</f>
        <v>369160</v>
      </c>
      <c r="N359" s="425">
        <f ca="1">N360+N361</f>
        <v>139323</v>
      </c>
      <c r="O359" s="425">
        <f ca="1">IF(L359&gt;0,N359*100/L359,0)</f>
        <v>30.812765392781316</v>
      </c>
      <c r="P359" s="425">
        <f ca="1">IF(M359&gt;0,N359*100/M359,0)</f>
        <v>37.740546104670059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IFERROR(__xludf.DUMMYFUNCTION("IMPORTRANGE(""https://docs.google.com/spreadsheets/d/1-uDff_7J0KD5mKrp0Vvzr7lt3OU09vwQwhkpOPPYv2Y/edit?usp=sharing"",""งบพรบ!FC29"")"),452160)</f>
        <v>452160</v>
      </c>
      <c r="M361" s="425">
        <f ca="1">IFERROR(__xludf.DUMMYFUNCTION("IMPORTRANGE(""https://docs.google.com/spreadsheets/d/1-uDff_7J0KD5mKrp0Vvzr7lt3OU09vwQwhkpOPPYv2Y/edit?usp=sharing"",""งบพรบ!FH29"")"),369160)</f>
        <v>369160</v>
      </c>
      <c r="N361" s="425">
        <f ca="1">IFERROR(__xludf.DUMMYFUNCTION("IMPORTRANGE(""https://docs.google.com/spreadsheets/d/1-uDff_7J0KD5mKrp0Vvzr7lt3OU09vwQwhkpOPPYv2Y/edit?usp=sharing"",""งบพรบ!FJ29"")"),139323)</f>
        <v>139323</v>
      </c>
      <c r="O361" s="425">
        <f ca="1">IF(L361&gt;0,N361*100/L361,0)</f>
        <v>30.812765392781316</v>
      </c>
      <c r="P361" s="425">
        <f ca="1">IF(M361&gt;0,N361*100/M361,0)</f>
        <v>37.740546104670059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IFERROR(__xludf.DUMMYFUNCTION("IMPORTRANGE(""https://docs.google.com/spreadsheets/d/1-uDff_7J0KD5mKrp0Vvzr7lt3OU09vwQwhkpOPPYv2Y/edit?usp=sharing"",""งบพรบ!FF29"")"),0)</f>
        <v>0</v>
      </c>
      <c r="M364" s="425">
        <f ca="1">IFERROR(__xludf.DUMMYFUNCTION("IMPORTRANGE(""https://docs.google.com/spreadsheets/d/1-uDff_7J0KD5mKrp0Vvzr7lt3OU09vwQwhkpOPPYv2Y/edit?usp=sharing"",""งบพรบ!FI29"")"),0)</f>
        <v>0</v>
      </c>
      <c r="N364" s="425">
        <f ca="1">IFERROR(__xludf.DUMMYFUNCTION("IMPORTRANGE(""https://docs.google.com/spreadsheets/d/1-uDff_7J0KD5mKrp0Vvzr7lt3OU09vwQwhkpOPPYv2Y/edit?usp=sharing"",""งบพรบ!FK29"")"),0)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141</v>
      </c>
      <c r="J365" s="438">
        <f ca="1">J371</f>
        <v>10</v>
      </c>
      <c r="K365" s="439">
        <f ca="1">IF(I365&gt;0,J365*100/I365,0)</f>
        <v>7.0921985815602833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IFERROR(__xludf.DUMMYFUNCTION("IMPORTRANGE(""https://docs.google.com/spreadsheets/d/1tdoBKaGub7dwA3U6UFTqxio9LNnvDCQjHKmttSEBsFQ/edit?usp=sharing"",""จัดที่ดิน!AB29"")"),82)</f>
        <v>82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IFERROR(__xludf.DUMMYFUNCTION("IMPORTRANGE(""https://docs.google.com/spreadsheets/d/1eHaY18a8A9IcSdp1K8H6x8fbOy06t2VsZHhMHf-1x7Y/edit?usp=sharing"",""แผน!EW29"")"),1295)</f>
        <v>1295</v>
      </c>
      <c r="J368" s="565">
        <f ca="1">IFERROR(__xludf.DUMMYFUNCTION("IMPORTRANGE(""https://docs.google.com/spreadsheets/d/1tdoBKaGub7dwA3U6UFTqxio9LNnvDCQjHKmttSEBsFQ/edit?usp=sharing"",""จัดที่ดิน!AC29"")"),356.61)</f>
        <v>356.61</v>
      </c>
      <c r="K368" s="425">
        <f ca="1">IF(I368&gt;0,J368*100/I368,0)</f>
        <v>27.537451737451736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IFERROR(__xludf.DUMMYFUNCTION("IMPORTRANGE(""https://docs.google.com/spreadsheets/d/1eHaY18a8A9IcSdp1K8H6x8fbOy06t2VsZHhMHf-1x7Y/edit?usp=sharing"",""แผน!EX29"")"),223)</f>
        <v>223</v>
      </c>
      <c r="J369" s="424">
        <f ca="1">IFERROR(__xludf.DUMMYFUNCTION("IMPORTRANGE(""https://docs.google.com/spreadsheets/d/1tdoBKaGub7dwA3U6UFTqxio9LNnvDCQjHKmttSEBsFQ/edit?usp=sharing"",""จัดที่ดิน!AD29"")"),12)</f>
        <v>12</v>
      </c>
      <c r="K369" s="425">
        <f ca="1">IF(I369&gt;0,J369*100/I369,0)</f>
        <v>5.3811659192825116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IFERROR(__xludf.DUMMYFUNCTION("IMPORTRANGE(""https://docs.google.com/spreadsheets/d/1tdoBKaGub7dwA3U6UFTqxio9LNnvDCQjHKmttSEBsFQ/edit?usp=sharing"",""จัดที่ดิน!AE29"")"),71.57)</f>
        <v>71.569999999999993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IFERROR(__xludf.DUMMYFUNCTION("IMPORTRANGE(""https://docs.google.com/spreadsheets/d/1eHaY18a8A9IcSdp1K8H6x8fbOy06t2VsZHhMHf-1x7Y/edit?usp=sharing"",""แผน!EY29"")"),141)</f>
        <v>141</v>
      </c>
      <c r="J371" s="424">
        <f ca="1">IFERROR(__xludf.DUMMYFUNCTION("IMPORTRANGE(""https://docs.google.com/spreadsheets/d/1tdoBKaGub7dwA3U6UFTqxio9LNnvDCQjHKmttSEBsFQ/edit?usp=sharing"",""จัดที่ดิน!AF29"")"),10)</f>
        <v>10</v>
      </c>
      <c r="K371" s="425">
        <f ca="1">IF(I371&gt;0,J371*100/I371,0)</f>
        <v>7.0921985815602833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IFERROR(__xludf.DUMMYFUNCTION("IMPORTRANGE(""https://docs.google.com/spreadsheets/d/1tdoBKaGub7dwA3U6UFTqxio9LNnvDCQjHKmttSEBsFQ/edit?usp=sharing"",""จัดที่ดิน!AG29"")"),38.56)</f>
        <v>38.56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IFERROR(__xludf.DUMMYFUNCTION("IMPORTRANGE(""https://docs.google.com/spreadsheets/d/1-uDff_7J0KD5mKrp0Vvzr7lt3OU09vwQwhkpOPPYv2Y/edit?usp=sharing"",""งบพรบ!FM29"")"),0)</f>
        <v>0</v>
      </c>
      <c r="M382" s="521">
        <f ca="1">IFERROR(__xludf.DUMMYFUNCTION("IMPORTRANGE(""https://docs.google.com/spreadsheets/d/1-uDff_7J0KD5mKrp0Vvzr7lt3OU09vwQwhkpOPPYv2Y/edit?usp=sharing"",""งบพรบ!FR29"")"),0)</f>
        <v>0</v>
      </c>
      <c r="N382" s="521">
        <f ca="1">IFERROR(__xludf.DUMMYFUNCTION("IMPORTRANGE(""https://docs.google.com/spreadsheets/d/1-uDff_7J0KD5mKrp0Vvzr7lt3OU09vwQwhkpOPPYv2Y/edit?usp=sharing"",""งบพรบ!FT29"")"),0)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IFERROR(__xludf.DUMMYFUNCTION("IMPORTRANGE(""https://docs.google.com/spreadsheets/d/1-uDff_7J0KD5mKrp0Vvzr7lt3OU09vwQwhkpOPPYv2Y/edit?usp=sharing"",""งบพรบ!FP29"")"),0)</f>
        <v>0</v>
      </c>
      <c r="M385" s="521">
        <f ca="1">IFERROR(__xludf.DUMMYFUNCTION("IMPORTRANGE(""https://docs.google.com/spreadsheets/d/1-uDff_7J0KD5mKrp0Vvzr7lt3OU09vwQwhkpOPPYv2Y/edit?usp=sharing"",""งบพรบ!FS29"")"),0)</f>
        <v>0</v>
      </c>
      <c r="N385" s="521">
        <f ca="1">IFERROR(__xludf.DUMMYFUNCTION("IMPORTRANGE(""https://docs.google.com/spreadsheets/d/1-uDff_7J0KD5mKrp0Vvzr7lt3OU09vwQwhkpOPPYv2Y/edit?usp=sharing"",""งบพรบ!FU29"")"),0)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4DD1-ED73-45DF-B4F7-57985122015A}">
  <sheetPr>
    <outlinePr summaryBelow="0" summaryRight="0"/>
  </sheetPr>
  <dimension ref="A1:P391"/>
  <sheetViews>
    <sheetView view="pageBreakPreview" zoomScale="60" zoomScaleNormal="70" workbookViewId="0">
      <pane xSplit="8" ySplit="6" topLeftCell="I339" activePane="bottomRight" state="frozen"/>
      <selection activeCell="U19" sqref="U19"/>
      <selection pane="topRight" activeCell="U19" sqref="U19"/>
      <selection pane="bottomLeft" activeCell="U19" sqref="U19"/>
      <selection pane="bottomRight" activeCell="U19" sqref="U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" bestFit="1" customWidth="1"/>
    <col min="11" max="11" width="12.42578125" bestFit="1" customWidth="1"/>
    <col min="12" max="13" width="21" bestFit="1" customWidth="1"/>
    <col min="14" max="14" width="18.5703125" bestFit="1" customWidth="1"/>
    <col min="15" max="15" width="20.140625" bestFit="1" customWidth="1"/>
    <col min="16" max="16" width="22" bestFit="1" customWidth="1"/>
  </cols>
  <sheetData>
    <row r="1" spans="1:16" ht="19.5" customHeight="1" x14ac:dyDescent="0.3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</row>
    <row r="2" spans="1:16" ht="19.5" x14ac:dyDescent="0.3">
      <c r="A2" s="845" t="s">
        <v>182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16" ht="19.5" x14ac:dyDescent="0.3">
      <c r="A3" s="845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2.75" x14ac:dyDescent="0.2">
      <c r="A4" s="516"/>
      <c r="B4" s="516"/>
      <c r="C4" s="516"/>
      <c r="D4" s="516"/>
      <c r="E4" s="516"/>
      <c r="F4" s="516"/>
      <c r="G4" s="516"/>
      <c r="H4" s="516"/>
      <c r="I4" s="516"/>
      <c r="J4" s="519"/>
      <c r="K4" s="844"/>
      <c r="L4" s="519"/>
      <c r="M4" s="519"/>
      <c r="N4" s="519"/>
      <c r="O4" s="516"/>
      <c r="P4" s="516"/>
    </row>
    <row r="5" spans="1:16" ht="19.5" x14ac:dyDescent="0.3">
      <c r="A5" s="843" t="s">
        <v>2</v>
      </c>
      <c r="B5" s="500"/>
      <c r="C5" s="500"/>
      <c r="D5" s="500"/>
      <c r="E5" s="500"/>
      <c r="F5" s="500"/>
      <c r="G5" s="842"/>
      <c r="H5" s="841" t="s">
        <v>3</v>
      </c>
      <c r="I5" s="840" t="s">
        <v>4</v>
      </c>
      <c r="J5" s="492"/>
      <c r="K5" s="493"/>
      <c r="L5" s="839" t="s">
        <v>5</v>
      </c>
      <c r="M5" s="493"/>
      <c r="N5" s="838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37"/>
      <c r="I6" s="835" t="s">
        <v>7</v>
      </c>
      <c r="J6" s="836" t="s">
        <v>8</v>
      </c>
      <c r="K6" s="835" t="s">
        <v>9</v>
      </c>
      <c r="L6" s="834" t="s">
        <v>10</v>
      </c>
      <c r="M6" s="833" t="s">
        <v>11</v>
      </c>
      <c r="N6" s="832" t="s">
        <v>12</v>
      </c>
      <c r="O6" s="831" t="s">
        <v>13</v>
      </c>
      <c r="P6" s="830" t="s">
        <v>14</v>
      </c>
    </row>
    <row r="7" spans="1:16" ht="12.75" hidden="1" x14ac:dyDescent="0.2">
      <c r="A7" s="816"/>
      <c r="B7" s="492"/>
      <c r="C7" s="492"/>
      <c r="D7" s="492"/>
      <c r="E7" s="492"/>
      <c r="F7" s="492"/>
      <c r="G7" s="493"/>
      <c r="H7" s="611"/>
      <c r="I7" s="610"/>
      <c r="J7" s="610"/>
      <c r="K7" s="609"/>
      <c r="L7" s="609"/>
      <c r="M7" s="609"/>
      <c r="N7" s="609"/>
      <c r="O7" s="609"/>
      <c r="P7" s="609"/>
    </row>
    <row r="8" spans="1:16" ht="12.75" hidden="1" x14ac:dyDescent="0.2">
      <c r="A8" s="798"/>
      <c r="B8" s="618"/>
      <c r="C8" s="618"/>
      <c r="D8" s="618"/>
      <c r="E8" s="618"/>
      <c r="F8" s="618"/>
      <c r="G8" s="617"/>
      <c r="H8" s="617"/>
      <c r="I8" s="616"/>
      <c r="J8" s="616"/>
      <c r="K8" s="615"/>
      <c r="L8" s="615"/>
      <c r="M8" s="615"/>
      <c r="N8" s="615"/>
      <c r="O8" s="615"/>
      <c r="P8" s="615"/>
    </row>
    <row r="9" spans="1:16" ht="12.75" hidden="1" x14ac:dyDescent="0.2">
      <c r="A9" s="798"/>
      <c r="B9" s="618"/>
      <c r="C9" s="618"/>
      <c r="D9" s="618"/>
      <c r="E9" s="618"/>
      <c r="F9" s="618"/>
      <c r="G9" s="617"/>
      <c r="H9" s="617"/>
      <c r="I9" s="616"/>
      <c r="J9" s="616"/>
      <c r="K9" s="615"/>
      <c r="L9" s="615"/>
      <c r="M9" s="615"/>
      <c r="N9" s="615"/>
      <c r="O9" s="615"/>
      <c r="P9" s="615"/>
    </row>
    <row r="10" spans="1:16" ht="12.75" hidden="1" x14ac:dyDescent="0.2">
      <c r="A10" s="798"/>
      <c r="B10" s="618"/>
      <c r="C10" s="618"/>
      <c r="D10" s="618"/>
      <c r="E10" s="618"/>
      <c r="F10" s="618"/>
      <c r="G10" s="617"/>
      <c r="H10" s="617"/>
      <c r="I10" s="616"/>
      <c r="J10" s="616"/>
      <c r="K10" s="615"/>
      <c r="L10" s="615"/>
      <c r="M10" s="615"/>
      <c r="N10" s="615"/>
      <c r="O10" s="615"/>
      <c r="P10" s="615"/>
    </row>
    <row r="11" spans="1:16" ht="12.75" hidden="1" x14ac:dyDescent="0.2">
      <c r="A11" s="798"/>
      <c r="B11" s="618"/>
      <c r="C11" s="618"/>
      <c r="D11" s="618"/>
      <c r="E11" s="618"/>
      <c r="F11" s="618"/>
      <c r="G11" s="617"/>
      <c r="H11" s="617"/>
      <c r="I11" s="616"/>
      <c r="J11" s="616"/>
      <c r="K11" s="615"/>
      <c r="L11" s="615"/>
      <c r="M11" s="615"/>
      <c r="N11" s="615"/>
      <c r="O11" s="615"/>
      <c r="P11" s="615"/>
    </row>
    <row r="12" spans="1:16" ht="12.75" hidden="1" x14ac:dyDescent="0.2">
      <c r="A12" s="798"/>
      <c r="B12" s="618"/>
      <c r="C12" s="618"/>
      <c r="D12" s="618"/>
      <c r="E12" s="618"/>
      <c r="F12" s="618"/>
      <c r="G12" s="617"/>
      <c r="H12" s="617"/>
      <c r="I12" s="616"/>
      <c r="J12" s="616"/>
      <c r="K12" s="615"/>
      <c r="L12" s="615"/>
      <c r="M12" s="615"/>
      <c r="N12" s="615"/>
      <c r="O12" s="615"/>
      <c r="P12" s="615"/>
    </row>
    <row r="13" spans="1:16" ht="12.75" hidden="1" x14ac:dyDescent="0.2">
      <c r="A13" s="798"/>
      <c r="B13" s="618"/>
      <c r="C13" s="618"/>
      <c r="D13" s="618"/>
      <c r="E13" s="618"/>
      <c r="F13" s="618"/>
      <c r="G13" s="617"/>
      <c r="H13" s="617"/>
      <c r="I13" s="616"/>
      <c r="J13" s="616"/>
      <c r="K13" s="615"/>
      <c r="L13" s="615"/>
      <c r="M13" s="615"/>
      <c r="N13" s="615"/>
      <c r="O13" s="615"/>
      <c r="P13" s="615"/>
    </row>
    <row r="14" spans="1:16" ht="12.75" hidden="1" x14ac:dyDescent="0.2">
      <c r="A14" s="798"/>
      <c r="B14" s="618"/>
      <c r="C14" s="618"/>
      <c r="D14" s="618"/>
      <c r="E14" s="618"/>
      <c r="F14" s="618"/>
      <c r="G14" s="617"/>
      <c r="H14" s="617"/>
      <c r="I14" s="616"/>
      <c r="J14" s="616"/>
      <c r="K14" s="615"/>
      <c r="L14" s="615"/>
      <c r="M14" s="615"/>
      <c r="N14" s="615"/>
      <c r="O14" s="615"/>
      <c r="P14" s="615"/>
    </row>
    <row r="15" spans="1:16" ht="12.75" hidden="1" x14ac:dyDescent="0.2">
      <c r="A15" s="798"/>
      <c r="B15" s="618"/>
      <c r="C15" s="618"/>
      <c r="D15" s="618"/>
      <c r="E15" s="618"/>
      <c r="F15" s="618"/>
      <c r="G15" s="617"/>
      <c r="H15" s="617"/>
      <c r="I15" s="616"/>
      <c r="J15" s="616"/>
      <c r="K15" s="615"/>
      <c r="L15" s="615"/>
      <c r="M15" s="615"/>
      <c r="N15" s="615"/>
      <c r="O15" s="615"/>
      <c r="P15" s="615"/>
    </row>
    <row r="16" spans="1:16" ht="12.75" hidden="1" x14ac:dyDescent="0.2">
      <c r="A16" s="815"/>
      <c r="B16" s="612"/>
      <c r="C16" s="612"/>
      <c r="D16" s="612"/>
      <c r="E16" s="612"/>
      <c r="F16" s="612"/>
      <c r="G16" s="611"/>
      <c r="H16" s="611"/>
      <c r="I16" s="610"/>
      <c r="J16" s="610"/>
      <c r="K16" s="609"/>
      <c r="L16" s="609"/>
      <c r="M16" s="609"/>
      <c r="N16" s="609"/>
      <c r="O16" s="609"/>
      <c r="P16" s="609"/>
    </row>
    <row r="17" spans="1:16" ht="19.5" x14ac:dyDescent="0.3">
      <c r="A17" s="829" t="s">
        <v>15</v>
      </c>
      <c r="B17" s="492"/>
      <c r="C17" s="492"/>
      <c r="D17" s="492"/>
      <c r="E17" s="492"/>
      <c r="F17" s="492"/>
      <c r="G17" s="493"/>
      <c r="H17" s="828"/>
      <c r="I17" s="827"/>
      <c r="J17" s="827"/>
      <c r="K17" s="826"/>
      <c r="L17" s="826"/>
      <c r="M17" s="826"/>
      <c r="N17" s="826"/>
      <c r="O17" s="826"/>
      <c r="P17" s="826"/>
    </row>
    <row r="18" spans="1:16" ht="19.5" x14ac:dyDescent="0.3">
      <c r="A18" s="820"/>
      <c r="B18" s="708"/>
      <c r="C18" s="709" t="s">
        <v>16</v>
      </c>
      <c r="D18" s="825" t="s">
        <v>17</v>
      </c>
      <c r="E18" s="708"/>
      <c r="F18" s="708"/>
      <c r="G18" s="707"/>
      <c r="H18" s="824" t="s">
        <v>12</v>
      </c>
      <c r="I18" s="721"/>
      <c r="J18" s="721"/>
      <c r="K18" s="703"/>
      <c r="L18" s="704">
        <f ca="1">L19+L20</f>
        <v>2515080</v>
      </c>
      <c r="M18" s="704">
        <f ca="1">M19+M20</f>
        <v>2156702</v>
      </c>
      <c r="N18" s="704">
        <f ca="1">N19+N20</f>
        <v>873314.9</v>
      </c>
      <c r="O18" s="704">
        <f ca="1">IF(L18&gt;0,N18*100/L18,0)</f>
        <v>34.723145983427962</v>
      </c>
      <c r="P18" s="704">
        <f ca="1">IF(M18&gt;0,N18*100/M18,0)</f>
        <v>40.493072292787787</v>
      </c>
    </row>
    <row r="19" spans="1:16" ht="18.75" hidden="1" x14ac:dyDescent="0.25">
      <c r="A19" s="820"/>
      <c r="B19" s="708"/>
      <c r="C19" s="708"/>
      <c r="D19" s="708"/>
      <c r="E19" s="823" t="s">
        <v>18</v>
      </c>
      <c r="F19" s="708"/>
      <c r="G19" s="707"/>
      <c r="H19" s="822" t="s">
        <v>12</v>
      </c>
      <c r="I19" s="721"/>
      <c r="J19" s="721"/>
      <c r="K19" s="703"/>
      <c r="L19" s="821">
        <f>L22+L25</f>
        <v>0</v>
      </c>
      <c r="M19" s="821">
        <f>M22+M25</f>
        <v>0</v>
      </c>
      <c r="N19" s="821">
        <f>N22+N25</f>
        <v>0</v>
      </c>
      <c r="O19" s="821">
        <f>IF(L19&gt;0,N19*100/L19,0)</f>
        <v>0</v>
      </c>
      <c r="P19" s="821">
        <f>IF(M19&gt;0,N19*100/M19,0)</f>
        <v>0</v>
      </c>
    </row>
    <row r="20" spans="1:16" ht="18.75" x14ac:dyDescent="0.25">
      <c r="A20" s="820"/>
      <c r="B20" s="708"/>
      <c r="C20" s="708"/>
      <c r="D20" s="708"/>
      <c r="E20" s="819" t="s">
        <v>19</v>
      </c>
      <c r="F20" s="708"/>
      <c r="G20" s="707"/>
      <c r="H20" s="818" t="s">
        <v>12</v>
      </c>
      <c r="I20" s="721"/>
      <c r="J20" s="721"/>
      <c r="K20" s="703"/>
      <c r="L20" s="817">
        <f ca="1">L23+L26</f>
        <v>2515080</v>
      </c>
      <c r="M20" s="817">
        <f ca="1">M23+M26</f>
        <v>2156702</v>
      </c>
      <c r="N20" s="817">
        <f ca="1">N23+N26</f>
        <v>873314.9</v>
      </c>
      <c r="O20" s="817">
        <f ca="1">IF(L20&gt;0,N20*100/L20,0)</f>
        <v>34.723145983427962</v>
      </c>
      <c r="P20" s="817">
        <f ca="1">IF(M20&gt;0,N20*100/M20,0)</f>
        <v>40.493072292787787</v>
      </c>
    </row>
    <row r="21" spans="1:16" ht="18.75" x14ac:dyDescent="0.25">
      <c r="A21" s="751"/>
      <c r="B21" s="418"/>
      <c r="C21" s="418"/>
      <c r="D21" s="575" t="s">
        <v>20</v>
      </c>
      <c r="E21" s="418"/>
      <c r="F21" s="418"/>
      <c r="G21" s="422"/>
      <c r="H21" s="596" t="s">
        <v>12</v>
      </c>
      <c r="I21" s="427"/>
      <c r="J21" s="427"/>
      <c r="K21" s="428"/>
      <c r="L21" s="425">
        <f ca="1">L22+L23</f>
        <v>2515080</v>
      </c>
      <c r="M21" s="425">
        <f ca="1">M22+M23</f>
        <v>2156702</v>
      </c>
      <c r="N21" s="425">
        <f ca="1">N22+N23</f>
        <v>873314.9</v>
      </c>
      <c r="O21" s="425">
        <f ca="1">IF(L21&gt;0,N21*100/L21,0)</f>
        <v>34.723145983427962</v>
      </c>
      <c r="P21" s="425">
        <f ca="1">IF(M21&gt;0,N21*100/M21,0)</f>
        <v>40.493072292787787</v>
      </c>
    </row>
    <row r="22" spans="1:16" ht="18.75" hidden="1" x14ac:dyDescent="0.25">
      <c r="A22" s="751"/>
      <c r="B22" s="418"/>
      <c r="C22" s="418"/>
      <c r="D22" s="418"/>
      <c r="E22" s="534" t="s">
        <v>18</v>
      </c>
      <c r="F22" s="418"/>
      <c r="G22" s="422"/>
      <c r="H22" s="601" t="s">
        <v>12</v>
      </c>
      <c r="I22" s="427"/>
      <c r="J22" s="427"/>
      <c r="K22" s="428"/>
      <c r="L22" s="521">
        <f>L48+L63+L76+L98+L129+L143+L161+L190+L177+L270+L286+L307+L324+L337+L360+L381</f>
        <v>0</v>
      </c>
      <c r="M22" s="521">
        <f>M48+M63+M76+M98+M129+M143+M161+M190+M177+M270+M286+M307+M324+M337+M360+M381</f>
        <v>0</v>
      </c>
      <c r="N22" s="521">
        <f>N48+N63+N76+N98+N129+N143+N161+N190+N177+N270+N286+N307+N324+N337+N360+N381</f>
        <v>0</v>
      </c>
      <c r="O22" s="521">
        <f>IF(L22&gt;0,N22*100/L22,0)</f>
        <v>0</v>
      </c>
      <c r="P22" s="521">
        <f>IF(M22&gt;0,N22*100/M22,0)</f>
        <v>0</v>
      </c>
    </row>
    <row r="23" spans="1:16" ht="18.75" x14ac:dyDescent="0.25">
      <c r="A23" s="751"/>
      <c r="B23" s="418"/>
      <c r="C23" s="418"/>
      <c r="D23" s="418"/>
      <c r="E23" s="293" t="s">
        <v>19</v>
      </c>
      <c r="F23" s="418"/>
      <c r="G23" s="422"/>
      <c r="H23" s="596" t="s">
        <v>12</v>
      </c>
      <c r="I23" s="427"/>
      <c r="J23" s="427"/>
      <c r="K23" s="428"/>
      <c r="L23" s="425">
        <f ca="1">L49+L64+L77+L99+L130+L144+L162+L191+L178+L271+L287+L308+L325+L338+L361+L382</f>
        <v>2515080</v>
      </c>
      <c r="M23" s="425">
        <f ca="1">M49+M64+M77+M99+M130+M144+M162+M191+M178+M271+M287+M308+M325+M338+M361+M382</f>
        <v>2156702</v>
      </c>
      <c r="N23" s="425">
        <f ca="1">N49+N64+N77+N99+N130+N144+N162+N191+N178+N271+N287+N308+N325+N338+N361+N382</f>
        <v>873314.9</v>
      </c>
      <c r="O23" s="425">
        <f ca="1">IF(L23&gt;0,N23*100/L23,0)</f>
        <v>34.723145983427962</v>
      </c>
      <c r="P23" s="425">
        <f ca="1">IF(M23&gt;0,N23*100/M23,0)</f>
        <v>40.493072292787787</v>
      </c>
    </row>
    <row r="24" spans="1:16" ht="18.75" x14ac:dyDescent="0.25">
      <c r="A24" s="751"/>
      <c r="B24" s="418"/>
      <c r="C24" s="418"/>
      <c r="D24" s="575" t="s">
        <v>21</v>
      </c>
      <c r="E24" s="418"/>
      <c r="F24" s="418"/>
      <c r="G24" s="422"/>
      <c r="H24" s="596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1"/>
      <c r="B25" s="418"/>
      <c r="C25" s="418"/>
      <c r="D25" s="418"/>
      <c r="E25" s="534" t="s">
        <v>18</v>
      </c>
      <c r="F25" s="418"/>
      <c r="G25" s="422"/>
      <c r="H25" s="601" t="s">
        <v>12</v>
      </c>
      <c r="I25" s="427"/>
      <c r="J25" s="427"/>
      <c r="K25" s="428"/>
      <c r="L25" s="521">
        <f>L51+L66+L79+L101+L132+L146+L164+L193+L180+L273+L289+L310+L327+L340+L363+L384</f>
        <v>0</v>
      </c>
      <c r="M25" s="521">
        <f>M51+M66+M79+M101+M132+M146+M164+M193+M180+M273+M289+M310+M327+M340+M363+M384</f>
        <v>0</v>
      </c>
      <c r="N25" s="521">
        <f>N51+N66+N79+N101+N132+N146+N164+N193+N180+N273+N289+N310+N327+N340+N363+N384</f>
        <v>0</v>
      </c>
      <c r="O25" s="521">
        <f>IF(L25&gt;0,N25*100/L25,0)</f>
        <v>0</v>
      </c>
      <c r="P25" s="521">
        <f>IF(M25&gt;0,N25*100/M25,0)</f>
        <v>0</v>
      </c>
    </row>
    <row r="26" spans="1:16" ht="18.75" x14ac:dyDescent="0.25">
      <c r="A26" s="751"/>
      <c r="B26" s="418"/>
      <c r="C26" s="418"/>
      <c r="D26" s="418"/>
      <c r="E26" s="293" t="s">
        <v>19</v>
      </c>
      <c r="F26" s="418"/>
      <c r="G26" s="422"/>
      <c r="H26" s="596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1"/>
      <c r="B27" s="418"/>
      <c r="C27" s="418"/>
      <c r="D27" s="575" t="s">
        <v>22</v>
      </c>
      <c r="E27" s="418"/>
      <c r="F27" s="418"/>
      <c r="G27" s="422"/>
      <c r="H27" s="596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1"/>
      <c r="B28" s="418"/>
      <c r="C28" s="418"/>
      <c r="D28" s="418"/>
      <c r="E28" s="534" t="s">
        <v>18</v>
      </c>
      <c r="F28" s="418"/>
      <c r="G28" s="422"/>
      <c r="H28" s="601" t="s">
        <v>12</v>
      </c>
      <c r="I28" s="427"/>
      <c r="J28" s="427"/>
      <c r="K28" s="428"/>
      <c r="L28" s="521"/>
      <c r="M28" s="521"/>
      <c r="N28" s="521"/>
      <c r="O28" s="521"/>
      <c r="P28" s="521"/>
    </row>
    <row r="29" spans="1:16" ht="18.75" hidden="1" x14ac:dyDescent="0.25">
      <c r="A29" s="750"/>
      <c r="B29" s="516"/>
      <c r="C29" s="516"/>
      <c r="D29" s="516"/>
      <c r="E29" s="749" t="s">
        <v>19</v>
      </c>
      <c r="F29" s="516"/>
      <c r="G29" s="515"/>
      <c r="H29" s="748" t="s">
        <v>12</v>
      </c>
      <c r="I29" s="563"/>
      <c r="J29" s="563"/>
      <c r="K29" s="510"/>
      <c r="L29" s="747"/>
      <c r="M29" s="747"/>
      <c r="N29" s="747"/>
      <c r="O29" s="747"/>
      <c r="P29" s="747"/>
    </row>
    <row r="30" spans="1:16" ht="12.75" hidden="1" x14ac:dyDescent="0.2">
      <c r="A30" s="816"/>
      <c r="B30" s="492"/>
      <c r="C30" s="492"/>
      <c r="D30" s="492"/>
      <c r="E30" s="492"/>
      <c r="F30" s="492"/>
      <c r="G30" s="493"/>
      <c r="H30" s="611"/>
      <c r="I30" s="610"/>
      <c r="J30" s="610"/>
      <c r="K30" s="609"/>
      <c r="L30" s="609"/>
      <c r="M30" s="609"/>
      <c r="N30" s="609"/>
      <c r="O30" s="609"/>
      <c r="P30" s="609"/>
    </row>
    <row r="31" spans="1:16" ht="12.75" hidden="1" x14ac:dyDescent="0.2">
      <c r="A31" s="798"/>
      <c r="B31" s="618"/>
      <c r="C31" s="618"/>
      <c r="D31" s="618"/>
      <c r="E31" s="618"/>
      <c r="F31" s="618"/>
      <c r="G31" s="617"/>
      <c r="H31" s="617"/>
      <c r="I31" s="616"/>
      <c r="J31" s="616"/>
      <c r="K31" s="615"/>
      <c r="L31" s="615"/>
      <c r="M31" s="615"/>
      <c r="N31" s="615"/>
      <c r="O31" s="615"/>
      <c r="P31" s="615"/>
    </row>
    <row r="32" spans="1:16" ht="12.75" hidden="1" x14ac:dyDescent="0.2">
      <c r="A32" s="798"/>
      <c r="B32" s="618"/>
      <c r="C32" s="618"/>
      <c r="D32" s="618"/>
      <c r="E32" s="618"/>
      <c r="F32" s="618"/>
      <c r="G32" s="617"/>
      <c r="H32" s="617"/>
      <c r="I32" s="616"/>
      <c r="J32" s="616"/>
      <c r="K32" s="615"/>
      <c r="L32" s="615"/>
      <c r="M32" s="615"/>
      <c r="N32" s="615"/>
      <c r="O32" s="615"/>
      <c r="P32" s="615"/>
    </row>
    <row r="33" spans="1:16" ht="12.75" hidden="1" x14ac:dyDescent="0.2">
      <c r="A33" s="798"/>
      <c r="B33" s="618"/>
      <c r="C33" s="618"/>
      <c r="D33" s="618"/>
      <c r="E33" s="618"/>
      <c r="F33" s="618"/>
      <c r="G33" s="617"/>
      <c r="H33" s="617"/>
      <c r="I33" s="616"/>
      <c r="J33" s="616"/>
      <c r="K33" s="615"/>
      <c r="L33" s="615"/>
      <c r="M33" s="615"/>
      <c r="N33" s="615"/>
      <c r="O33" s="615"/>
      <c r="P33" s="615"/>
    </row>
    <row r="34" spans="1:16" ht="12.75" hidden="1" x14ac:dyDescent="0.2">
      <c r="A34" s="798"/>
      <c r="B34" s="618"/>
      <c r="C34" s="618"/>
      <c r="D34" s="618"/>
      <c r="E34" s="618"/>
      <c r="F34" s="618"/>
      <c r="G34" s="617"/>
      <c r="H34" s="617"/>
      <c r="I34" s="616"/>
      <c r="J34" s="616"/>
      <c r="K34" s="615"/>
      <c r="L34" s="615"/>
      <c r="M34" s="615"/>
      <c r="N34" s="615"/>
      <c r="O34" s="615"/>
      <c r="P34" s="615"/>
    </row>
    <row r="35" spans="1:16" ht="12.75" hidden="1" x14ac:dyDescent="0.2">
      <c r="A35" s="798"/>
      <c r="B35" s="618"/>
      <c r="C35" s="618"/>
      <c r="D35" s="618"/>
      <c r="E35" s="618"/>
      <c r="F35" s="618"/>
      <c r="G35" s="617"/>
      <c r="H35" s="617"/>
      <c r="I35" s="616"/>
      <c r="J35" s="616"/>
      <c r="K35" s="615"/>
      <c r="L35" s="615"/>
      <c r="M35" s="615"/>
      <c r="N35" s="615"/>
      <c r="O35" s="615"/>
      <c r="P35" s="615"/>
    </row>
    <row r="36" spans="1:16" ht="12.75" hidden="1" x14ac:dyDescent="0.2">
      <c r="A36" s="798"/>
      <c r="B36" s="618"/>
      <c r="C36" s="618"/>
      <c r="D36" s="618"/>
      <c r="E36" s="618"/>
      <c r="F36" s="618"/>
      <c r="G36" s="617"/>
      <c r="H36" s="617"/>
      <c r="I36" s="616"/>
      <c r="J36" s="616"/>
      <c r="K36" s="615"/>
      <c r="L36" s="615"/>
      <c r="M36" s="615"/>
      <c r="N36" s="615"/>
      <c r="O36" s="615"/>
      <c r="P36" s="615"/>
    </row>
    <row r="37" spans="1:16" ht="12.75" hidden="1" x14ac:dyDescent="0.2">
      <c r="A37" s="798"/>
      <c r="B37" s="618"/>
      <c r="C37" s="618"/>
      <c r="D37" s="618"/>
      <c r="E37" s="618"/>
      <c r="F37" s="618"/>
      <c r="G37" s="617"/>
      <c r="H37" s="617"/>
      <c r="I37" s="616"/>
      <c r="J37" s="616"/>
      <c r="K37" s="615"/>
      <c r="L37" s="615"/>
      <c r="M37" s="615"/>
      <c r="N37" s="615"/>
      <c r="O37" s="615"/>
      <c r="P37" s="615"/>
    </row>
    <row r="38" spans="1:16" ht="12.75" hidden="1" x14ac:dyDescent="0.2">
      <c r="A38" s="798"/>
      <c r="B38" s="618"/>
      <c r="C38" s="618"/>
      <c r="D38" s="618"/>
      <c r="E38" s="618"/>
      <c r="F38" s="618"/>
      <c r="G38" s="617"/>
      <c r="H38" s="617"/>
      <c r="I38" s="616"/>
      <c r="J38" s="616"/>
      <c r="K38" s="615"/>
      <c r="L38" s="615"/>
      <c r="M38" s="615"/>
      <c r="N38" s="615"/>
      <c r="O38" s="615"/>
      <c r="P38" s="615"/>
    </row>
    <row r="39" spans="1:16" ht="12.75" hidden="1" x14ac:dyDescent="0.2">
      <c r="A39" s="815"/>
      <c r="B39" s="612"/>
      <c r="C39" s="612"/>
      <c r="D39" s="612"/>
      <c r="E39" s="612"/>
      <c r="F39" s="612"/>
      <c r="G39" s="611"/>
      <c r="H39" s="611"/>
      <c r="I39" s="610"/>
      <c r="J39" s="610"/>
      <c r="K39" s="609"/>
      <c r="L39" s="609"/>
      <c r="M39" s="609"/>
      <c r="N39" s="609"/>
      <c r="O39" s="609"/>
      <c r="P39" s="609"/>
    </row>
    <row r="40" spans="1:16" ht="19.5" hidden="1" x14ac:dyDescent="0.3">
      <c r="A40" s="814" t="s">
        <v>23</v>
      </c>
      <c r="B40" s="813"/>
      <c r="C40" s="813"/>
      <c r="D40" s="813"/>
      <c r="E40" s="813"/>
      <c r="F40" s="813"/>
      <c r="G40" s="812"/>
      <c r="H40" s="812"/>
      <c r="I40" s="811"/>
      <c r="J40" s="811"/>
      <c r="K40" s="810"/>
      <c r="L40" s="809">
        <f ca="1">L44+L59+L72+L94+L125+L139+L157+L173+L186+L266+L282+L303+L320+L333+L356</f>
        <v>2515080</v>
      </c>
      <c r="M40" s="809">
        <f ca="1">M44+M59+M72+M94+M125+M139+M157+M173+M186+M266+M282+M303+M320+M333+M356</f>
        <v>2156702</v>
      </c>
      <c r="N40" s="809">
        <f ca="1">N44+N59+N72+N94+N125+N139+N157+N173+N186+N266+N282+N303+N320+N333+N356</f>
        <v>873314.9</v>
      </c>
      <c r="O40" s="809">
        <f ca="1">IF(L40&gt;0,N40*100/L40,0)</f>
        <v>34.723145983427962</v>
      </c>
      <c r="P40" s="809">
        <f ca="1">IF(M40&gt;0,N40*100/M40,0)</f>
        <v>40.493072292787787</v>
      </c>
    </row>
    <row r="41" spans="1:16" ht="19.5" x14ac:dyDescent="0.3">
      <c r="A41" s="808" t="s">
        <v>24</v>
      </c>
      <c r="B41" s="807"/>
      <c r="C41" s="807"/>
      <c r="D41" s="807"/>
      <c r="E41" s="807"/>
      <c r="F41" s="807"/>
      <c r="G41" s="807"/>
      <c r="H41" s="807"/>
      <c r="I41" s="806"/>
      <c r="J41" s="806"/>
      <c r="K41" s="805"/>
      <c r="L41" s="805"/>
      <c r="M41" s="805"/>
      <c r="N41" s="805"/>
      <c r="O41" s="805"/>
      <c r="P41" s="804"/>
    </row>
    <row r="42" spans="1:16" ht="19.5" x14ac:dyDescent="0.3">
      <c r="A42" s="802"/>
      <c r="B42" s="803" t="s">
        <v>25</v>
      </c>
      <c r="C42" s="802"/>
      <c r="D42" s="802"/>
      <c r="E42" s="802"/>
      <c r="F42" s="802"/>
      <c r="G42" s="801"/>
      <c r="H42" s="801"/>
      <c r="I42" s="800"/>
      <c r="J42" s="800"/>
      <c r="K42" s="799"/>
      <c r="L42" s="799"/>
      <c r="M42" s="799"/>
      <c r="N42" s="799"/>
      <c r="O42" s="799"/>
      <c r="P42" s="799"/>
    </row>
    <row r="43" spans="1:16" ht="12.75" hidden="1" x14ac:dyDescent="0.2">
      <c r="A43" s="798"/>
      <c r="B43" s="618"/>
      <c r="C43" s="618"/>
      <c r="D43" s="618"/>
      <c r="E43" s="618"/>
      <c r="F43" s="618"/>
      <c r="G43" s="617"/>
      <c r="H43" s="617"/>
      <c r="I43" s="616"/>
      <c r="J43" s="616"/>
      <c r="K43" s="615"/>
      <c r="L43" s="615"/>
      <c r="M43" s="615"/>
      <c r="N43" s="615"/>
      <c r="O43" s="615"/>
      <c r="P43" s="615"/>
    </row>
    <row r="44" spans="1:16" ht="19.5" x14ac:dyDescent="0.3">
      <c r="A44" s="790"/>
      <c r="B44" s="788"/>
      <c r="C44" s="797" t="s">
        <v>16</v>
      </c>
      <c r="D44" s="796" t="s">
        <v>17</v>
      </c>
      <c r="E44" s="788"/>
      <c r="F44" s="788"/>
      <c r="G44" s="787"/>
      <c r="H44" s="795" t="s">
        <v>12</v>
      </c>
      <c r="I44" s="785"/>
      <c r="J44" s="785"/>
      <c r="K44" s="784"/>
      <c r="L44" s="794">
        <f ca="1">L45+L46</f>
        <v>535970</v>
      </c>
      <c r="M44" s="794">
        <f ca="1">M45+M46</f>
        <v>547232</v>
      </c>
      <c r="N44" s="794">
        <f ca="1">N45+N46</f>
        <v>231296</v>
      </c>
      <c r="O44" s="794">
        <f ca="1">IF(L44&gt;0,N44*100/L44,0)</f>
        <v>43.154654178405508</v>
      </c>
      <c r="P44" s="794">
        <f ca="1">IF(M44&gt;0,N44*100/M44,0)</f>
        <v>42.266534120811649</v>
      </c>
    </row>
    <row r="45" spans="1:16" ht="18.75" hidden="1" x14ac:dyDescent="0.25">
      <c r="A45" s="790"/>
      <c r="B45" s="788"/>
      <c r="C45" s="788"/>
      <c r="D45" s="788"/>
      <c r="E45" s="793" t="s">
        <v>18</v>
      </c>
      <c r="F45" s="788"/>
      <c r="G45" s="787"/>
      <c r="H45" s="792" t="s">
        <v>12</v>
      </c>
      <c r="I45" s="785"/>
      <c r="J45" s="785"/>
      <c r="K45" s="784"/>
      <c r="L45" s="791">
        <f>L48+L51</f>
        <v>0</v>
      </c>
      <c r="M45" s="791">
        <f>M48+M51</f>
        <v>0</v>
      </c>
      <c r="N45" s="791">
        <f>N48+N51</f>
        <v>0</v>
      </c>
      <c r="O45" s="791">
        <f>IF(L45&gt;0,N45*100/L45,0)</f>
        <v>0</v>
      </c>
      <c r="P45" s="791">
        <f>IF(M45&gt;0,N45*100/M45,0)</f>
        <v>0</v>
      </c>
    </row>
    <row r="46" spans="1:16" ht="18.75" x14ac:dyDescent="0.25">
      <c r="A46" s="790"/>
      <c r="B46" s="788"/>
      <c r="C46" s="788"/>
      <c r="D46" s="788"/>
      <c r="E46" s="789" t="s">
        <v>19</v>
      </c>
      <c r="F46" s="788"/>
      <c r="G46" s="787"/>
      <c r="H46" s="786" t="s">
        <v>12</v>
      </c>
      <c r="I46" s="785"/>
      <c r="J46" s="785"/>
      <c r="K46" s="784"/>
      <c r="L46" s="783">
        <f ca="1">L49+L52</f>
        <v>535970</v>
      </c>
      <c r="M46" s="783">
        <f ca="1">M49+M52</f>
        <v>547232</v>
      </c>
      <c r="N46" s="783">
        <f ca="1">N49+N52</f>
        <v>231296</v>
      </c>
      <c r="O46" s="783">
        <f ca="1">IF(L46&gt;0,N46*100/L46,0)</f>
        <v>43.154654178405508</v>
      </c>
      <c r="P46" s="783">
        <f ca="1">IF(M46&gt;0,N46*100/M46,0)</f>
        <v>42.266534120811649</v>
      </c>
    </row>
    <row r="47" spans="1:16" ht="18.75" x14ac:dyDescent="0.25">
      <c r="A47" s="751"/>
      <c r="B47" s="418"/>
      <c r="C47" s="418"/>
      <c r="D47" s="575" t="s">
        <v>20</v>
      </c>
      <c r="E47" s="418"/>
      <c r="F47" s="418"/>
      <c r="G47" s="422"/>
      <c r="H47" s="596" t="s">
        <v>12</v>
      </c>
      <c r="I47" s="427"/>
      <c r="J47" s="427"/>
      <c r="K47" s="428"/>
      <c r="L47" s="425">
        <f ca="1">L48+L49</f>
        <v>535970</v>
      </c>
      <c r="M47" s="425">
        <f ca="1">M48+M49</f>
        <v>547232</v>
      </c>
      <c r="N47" s="425">
        <f ca="1">N48+N49</f>
        <v>231296</v>
      </c>
      <c r="O47" s="425">
        <f ca="1">IF(L47&gt;0,N47*100/L47,0)</f>
        <v>43.154654178405508</v>
      </c>
      <c r="P47" s="425">
        <f ca="1">IF(M47&gt;0,N47*100/M47,0)</f>
        <v>42.266534120811649</v>
      </c>
    </row>
    <row r="48" spans="1:16" ht="18.75" hidden="1" x14ac:dyDescent="0.25">
      <c r="A48" s="751"/>
      <c r="B48" s="418"/>
      <c r="C48" s="418"/>
      <c r="D48" s="418"/>
      <c r="E48" s="534" t="s">
        <v>18</v>
      </c>
      <c r="F48" s="418"/>
      <c r="G48" s="422"/>
      <c r="H48" s="601" t="s">
        <v>12</v>
      </c>
      <c r="I48" s="427"/>
      <c r="J48" s="427"/>
      <c r="K48" s="428"/>
      <c r="L48" s="521">
        <v>0</v>
      </c>
      <c r="M48" s="521">
        <v>0</v>
      </c>
      <c r="N48" s="521">
        <v>0</v>
      </c>
      <c r="O48" s="521">
        <f>IF(L48&gt;0,N48*100/L48,0)</f>
        <v>0</v>
      </c>
      <c r="P48" s="521">
        <f>IF(M48&gt;0,N48*100/M48,0)</f>
        <v>0</v>
      </c>
    </row>
    <row r="49" spans="1:16" ht="18.75" x14ac:dyDescent="0.25">
      <c r="A49" s="751"/>
      <c r="B49" s="418"/>
      <c r="C49" s="418"/>
      <c r="D49" s="418"/>
      <c r="E49" s="293" t="s">
        <v>19</v>
      </c>
      <c r="F49" s="418"/>
      <c r="G49" s="422"/>
      <c r="H49" s="596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IFERROR(__xludf.DUMMYFUNCTION("IMPORTRANGE(""https://docs.google.com/spreadsheets/d/1-uDff_7J0KD5mKrp0Vvzr7lt3OU09vwQwhkpOPPYv2Y/edit?usp=sharing"",""งบพรบ!P30"")"),535970)</f>
        <v>535970</v>
      </c>
      <c r="M49" s="425">
        <f ca="1">IFERROR(__xludf.DUMMYFUNCTION("IMPORTRANGE(""https://docs.google.com/spreadsheets/d/1-uDff_7J0KD5mKrp0Vvzr7lt3OU09vwQwhkpOPPYv2Y/edit?usp=sharing"",""งบพรบ!V30"")"),547232)</f>
        <v>547232</v>
      </c>
      <c r="N49" s="425">
        <f ca="1">IFERROR(__xludf.DUMMYFUNCTION("IMPORTRANGE(""https://docs.google.com/spreadsheets/d/1-uDff_7J0KD5mKrp0Vvzr7lt3OU09vwQwhkpOPPYv2Y/edit?usp=sharing"",""งบพรบ!Y30"")"),231296)</f>
        <v>231296</v>
      </c>
      <c r="O49" s="425">
        <f ca="1">IF(L49&gt;0,N49*100/L49,0)</f>
        <v>43.154654178405508</v>
      </c>
      <c r="P49" s="425">
        <f ca="1">IF(M49&gt;0,N49*100/M49,0)</f>
        <v>42.266534120811649</v>
      </c>
    </row>
    <row r="50" spans="1:16" ht="18.75" x14ac:dyDescent="0.25">
      <c r="A50" s="751"/>
      <c r="B50" s="418"/>
      <c r="C50" s="418"/>
      <c r="D50" s="575" t="s">
        <v>21</v>
      </c>
      <c r="E50" s="418"/>
      <c r="F50" s="418"/>
      <c r="G50" s="422"/>
      <c r="H50" s="596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1"/>
      <c r="B51" s="418"/>
      <c r="C51" s="418"/>
      <c r="D51" s="418"/>
      <c r="E51" s="534" t="s">
        <v>18</v>
      </c>
      <c r="F51" s="418"/>
      <c r="G51" s="422"/>
      <c r="H51" s="601" t="s">
        <v>12</v>
      </c>
      <c r="I51" s="427"/>
      <c r="J51" s="427"/>
      <c r="K51" s="428"/>
      <c r="L51" s="521">
        <v>0</v>
      </c>
      <c r="M51" s="521">
        <v>0</v>
      </c>
      <c r="N51" s="521">
        <v>0</v>
      </c>
      <c r="O51" s="521">
        <f>IF(L51&gt;0,N51*100/L51,0)</f>
        <v>0</v>
      </c>
      <c r="P51" s="521">
        <f>IF(M51&gt;0,N51*100/M51,0)</f>
        <v>0</v>
      </c>
    </row>
    <row r="52" spans="1:16" ht="18.75" x14ac:dyDescent="0.25">
      <c r="A52" s="751"/>
      <c r="B52" s="418"/>
      <c r="C52" s="418"/>
      <c r="D52" s="418"/>
      <c r="E52" s="293" t="s">
        <v>19</v>
      </c>
      <c r="F52" s="418"/>
      <c r="G52" s="422"/>
      <c r="H52" s="596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IFERROR(__xludf.DUMMYFUNCTION("IMPORTRANGE(""https://docs.google.com/spreadsheets/d/1-uDff_7J0KD5mKrp0Vvzr7lt3OU09vwQwhkpOPPYv2Y/edit?usp=sharing"",""งบพรบ!S30"")"),0)</f>
        <v>0</v>
      </c>
      <c r="M52" s="425">
        <f ca="1">IFERROR(__xludf.DUMMYFUNCTION("IMPORTRANGE(""https://docs.google.com/spreadsheets/d/1-uDff_7J0KD5mKrp0Vvzr7lt3OU09vwQwhkpOPPYv2Y/edit?usp=sharing"",""งบพรบ!W30"")"),0)</f>
        <v>0</v>
      </c>
      <c r="N52" s="425">
        <f ca="1">IFERROR(__xludf.DUMMYFUNCTION("IMPORTRANGE(""https://docs.google.com/spreadsheets/d/1-uDff_7J0KD5mKrp0Vvzr7lt3OU09vwQwhkpOPPYv2Y/edit?usp=sharing"",""งบพรบ!Z30"")"),0)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1"/>
      <c r="B53" s="418"/>
      <c r="C53" s="418"/>
      <c r="D53" s="575" t="s">
        <v>22</v>
      </c>
      <c r="E53" s="418"/>
      <c r="F53" s="418"/>
      <c r="G53" s="422"/>
      <c r="H53" s="596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1"/>
      <c r="B54" s="418"/>
      <c r="C54" s="418"/>
      <c r="D54" s="418"/>
      <c r="E54" s="534" t="s">
        <v>18</v>
      </c>
      <c r="F54" s="418"/>
      <c r="G54" s="422"/>
      <c r="H54" s="601" t="s">
        <v>12</v>
      </c>
      <c r="I54" s="427"/>
      <c r="J54" s="427"/>
      <c r="K54" s="428"/>
      <c r="L54" s="521"/>
      <c r="M54" s="521"/>
      <c r="N54" s="521"/>
      <c r="O54" s="521"/>
      <c r="P54" s="521"/>
    </row>
    <row r="55" spans="1:16" ht="18.75" hidden="1" x14ac:dyDescent="0.25">
      <c r="A55" s="750"/>
      <c r="B55" s="516"/>
      <c r="C55" s="516"/>
      <c r="D55" s="516"/>
      <c r="E55" s="749" t="s">
        <v>19</v>
      </c>
      <c r="F55" s="516"/>
      <c r="G55" s="515"/>
      <c r="H55" s="748" t="s">
        <v>12</v>
      </c>
      <c r="I55" s="563"/>
      <c r="J55" s="563"/>
      <c r="K55" s="510"/>
      <c r="L55" s="747"/>
      <c r="M55" s="747"/>
      <c r="N55" s="747"/>
      <c r="O55" s="747"/>
      <c r="P55" s="747"/>
    </row>
    <row r="56" spans="1:16" ht="19.5" x14ac:dyDescent="0.3">
      <c r="A56" s="782" t="s">
        <v>26</v>
      </c>
      <c r="B56" s="492"/>
      <c r="C56" s="492"/>
      <c r="D56" s="492"/>
      <c r="E56" s="492"/>
      <c r="F56" s="492"/>
      <c r="G56" s="493"/>
      <c r="H56" s="781"/>
      <c r="I56" s="780"/>
      <c r="J56" s="780"/>
      <c r="K56" s="779"/>
      <c r="L56" s="779"/>
      <c r="M56" s="779"/>
      <c r="N56" s="779"/>
      <c r="O56" s="779"/>
      <c r="P56" s="778"/>
    </row>
    <row r="57" spans="1:16" ht="19.5" x14ac:dyDescent="0.3">
      <c r="A57" s="777"/>
      <c r="B57" s="776" t="s">
        <v>27</v>
      </c>
      <c r="C57" s="497"/>
      <c r="D57" s="497"/>
      <c r="E57" s="497"/>
      <c r="F57" s="497"/>
      <c r="G57" s="498"/>
      <c r="H57" s="775"/>
      <c r="I57" s="774"/>
      <c r="J57" s="774"/>
      <c r="K57" s="773"/>
      <c r="L57" s="773"/>
      <c r="M57" s="773"/>
      <c r="N57" s="773"/>
      <c r="O57" s="773"/>
      <c r="P57" s="773"/>
    </row>
    <row r="58" spans="1:16" ht="19.5" x14ac:dyDescent="0.3">
      <c r="A58" s="772"/>
      <c r="B58" s="771" t="s">
        <v>28</v>
      </c>
      <c r="C58" s="770"/>
      <c r="D58" s="770"/>
      <c r="E58" s="770"/>
      <c r="F58" s="770"/>
      <c r="G58" s="769"/>
      <c r="H58" s="769"/>
      <c r="I58" s="768"/>
      <c r="J58" s="768"/>
      <c r="K58" s="767"/>
      <c r="L58" s="767"/>
      <c r="M58" s="767"/>
      <c r="N58" s="767"/>
      <c r="O58" s="767"/>
      <c r="P58" s="767"/>
    </row>
    <row r="59" spans="1:16" ht="19.5" x14ac:dyDescent="0.3">
      <c r="A59" s="759"/>
      <c r="B59" s="757"/>
      <c r="C59" s="766" t="s">
        <v>16</v>
      </c>
      <c r="D59" s="765" t="s">
        <v>17</v>
      </c>
      <c r="E59" s="757"/>
      <c r="F59" s="757"/>
      <c r="G59" s="756"/>
      <c r="H59" s="764" t="s">
        <v>12</v>
      </c>
      <c r="I59" s="754"/>
      <c r="J59" s="754"/>
      <c r="K59" s="753"/>
      <c r="L59" s="763">
        <f ca="1">L60+L61</f>
        <v>531900</v>
      </c>
      <c r="M59" s="763">
        <f ca="1">M60+M61</f>
        <v>400950</v>
      </c>
      <c r="N59" s="763">
        <f ca="1">N60+N61</f>
        <v>284572.40000000002</v>
      </c>
      <c r="O59" s="763">
        <f ca="1">IF(L59&gt;0,N59*100/L59,0)</f>
        <v>53.501109231058479</v>
      </c>
      <c r="P59" s="763">
        <f ca="1">IF(M59&gt;0,N59*100/M59,0)</f>
        <v>70.97453547823919</v>
      </c>
    </row>
    <row r="60" spans="1:16" ht="18.75" hidden="1" x14ac:dyDescent="0.25">
      <c r="A60" s="759"/>
      <c r="B60" s="757"/>
      <c r="C60" s="757"/>
      <c r="D60" s="757"/>
      <c r="E60" s="762" t="s">
        <v>18</v>
      </c>
      <c r="F60" s="757"/>
      <c r="G60" s="756"/>
      <c r="H60" s="761" t="s">
        <v>12</v>
      </c>
      <c r="I60" s="754"/>
      <c r="J60" s="754"/>
      <c r="K60" s="753"/>
      <c r="L60" s="760">
        <f>L63+L66</f>
        <v>0</v>
      </c>
      <c r="M60" s="760">
        <f>M63+M66</f>
        <v>0</v>
      </c>
      <c r="N60" s="760">
        <f>N63+N66</f>
        <v>0</v>
      </c>
      <c r="O60" s="760">
        <f>IF(L60&gt;0,N60*100/L60,0)</f>
        <v>0</v>
      </c>
      <c r="P60" s="760">
        <f>IF(M60&gt;0,N60*100/M60,0)</f>
        <v>0</v>
      </c>
    </row>
    <row r="61" spans="1:16" ht="18.75" x14ac:dyDescent="0.25">
      <c r="A61" s="759"/>
      <c r="B61" s="757"/>
      <c r="C61" s="757"/>
      <c r="D61" s="757"/>
      <c r="E61" s="758" t="s">
        <v>19</v>
      </c>
      <c r="F61" s="757"/>
      <c r="G61" s="756"/>
      <c r="H61" s="755" t="s">
        <v>12</v>
      </c>
      <c r="I61" s="754"/>
      <c r="J61" s="754"/>
      <c r="K61" s="753"/>
      <c r="L61" s="752">
        <f ca="1">L64+L67</f>
        <v>531900</v>
      </c>
      <c r="M61" s="752">
        <f ca="1">M64+M67</f>
        <v>400950</v>
      </c>
      <c r="N61" s="752">
        <f ca="1">N64+N67</f>
        <v>284572.40000000002</v>
      </c>
      <c r="O61" s="752">
        <f ca="1">IF(L61&gt;0,N61*100/L61,0)</f>
        <v>53.501109231058479</v>
      </c>
      <c r="P61" s="752">
        <f ca="1">IF(M61&gt;0,N61*100/M61,0)</f>
        <v>70.97453547823919</v>
      </c>
    </row>
    <row r="62" spans="1:16" ht="18.75" x14ac:dyDescent="0.25">
      <c r="A62" s="751"/>
      <c r="B62" s="418"/>
      <c r="C62" s="418"/>
      <c r="D62" s="575" t="s">
        <v>20</v>
      </c>
      <c r="E62" s="418"/>
      <c r="F62" s="418"/>
      <c r="G62" s="422"/>
      <c r="H62" s="596" t="s">
        <v>12</v>
      </c>
      <c r="I62" s="427"/>
      <c r="J62" s="427"/>
      <c r="K62" s="428"/>
      <c r="L62" s="425">
        <f ca="1">L63+L64</f>
        <v>531900</v>
      </c>
      <c r="M62" s="425">
        <f ca="1">M63+M64</f>
        <v>400950</v>
      </c>
      <c r="N62" s="425">
        <f ca="1">N63+N64</f>
        <v>284572.40000000002</v>
      </c>
      <c r="O62" s="425">
        <f ca="1">IF(L62&gt;0,N62*100/L62,0)</f>
        <v>53.501109231058479</v>
      </c>
      <c r="P62" s="425">
        <f ca="1">IF(M62&gt;0,N62*100/M62,0)</f>
        <v>70.97453547823919</v>
      </c>
    </row>
    <row r="63" spans="1:16" ht="18.75" hidden="1" x14ac:dyDescent="0.25">
      <c r="A63" s="751"/>
      <c r="B63" s="418"/>
      <c r="C63" s="418"/>
      <c r="D63" s="418"/>
      <c r="E63" s="534" t="s">
        <v>18</v>
      </c>
      <c r="F63" s="418"/>
      <c r="G63" s="422"/>
      <c r="H63" s="601" t="s">
        <v>12</v>
      </c>
      <c r="I63" s="427"/>
      <c r="J63" s="427"/>
      <c r="K63" s="428"/>
      <c r="L63" s="521">
        <v>0</v>
      </c>
      <c r="M63" s="521">
        <v>0</v>
      </c>
      <c r="N63" s="521">
        <v>0</v>
      </c>
      <c r="O63" s="521">
        <f>IF(L63&gt;0,N63*100/L63,0)</f>
        <v>0</v>
      </c>
      <c r="P63" s="521">
        <f>IF(M63&gt;0,N63*100/M63,0)</f>
        <v>0</v>
      </c>
    </row>
    <row r="64" spans="1:16" ht="18.75" x14ac:dyDescent="0.25">
      <c r="A64" s="751"/>
      <c r="B64" s="418"/>
      <c r="C64" s="418"/>
      <c r="D64" s="418"/>
      <c r="E64" s="293" t="s">
        <v>19</v>
      </c>
      <c r="F64" s="418"/>
      <c r="G64" s="422"/>
      <c r="H64" s="596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IFERROR(__xludf.DUMMYFUNCTION("IMPORTRANGE(""https://docs.google.com/spreadsheets/d/1-uDff_7J0KD5mKrp0Vvzr7lt3OU09vwQwhkpOPPYv2Y/edit?usp=sharing"",""งบพรบ!AC30"")"),531900)</f>
        <v>531900</v>
      </c>
      <c r="M64" s="425">
        <f ca="1">IFERROR(__xludf.DUMMYFUNCTION("IMPORTRANGE(""https://docs.google.com/spreadsheets/d/1-uDff_7J0KD5mKrp0Vvzr7lt3OU09vwQwhkpOPPYv2Y/edit?usp=sharing"",""งบพรบ!AH30"")"),400950)</f>
        <v>400950</v>
      </c>
      <c r="N64" s="425">
        <f ca="1">IFERROR(__xludf.DUMMYFUNCTION("IMPORTRANGE(""https://docs.google.com/spreadsheets/d/1-uDff_7J0KD5mKrp0Vvzr7lt3OU09vwQwhkpOPPYv2Y/edit?usp=sharing"",""งบพรบ!AJ30"")"),284572.4)</f>
        <v>284572.40000000002</v>
      </c>
      <c r="O64" s="425">
        <f ca="1">IF(L64&gt;0,N64*100/L64,0)</f>
        <v>53.501109231058479</v>
      </c>
      <c r="P64" s="425">
        <f ca="1">IF(M64&gt;0,N64*100/M64,0)</f>
        <v>70.97453547823919</v>
      </c>
    </row>
    <row r="65" spans="1:16" ht="18.75" x14ac:dyDescent="0.25">
      <c r="A65" s="751"/>
      <c r="B65" s="418"/>
      <c r="C65" s="418"/>
      <c r="D65" s="575" t="s">
        <v>21</v>
      </c>
      <c r="E65" s="418"/>
      <c r="F65" s="418"/>
      <c r="G65" s="422"/>
      <c r="H65" s="596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1"/>
      <c r="B66" s="418"/>
      <c r="C66" s="418"/>
      <c r="D66" s="418"/>
      <c r="E66" s="534" t="s">
        <v>18</v>
      </c>
      <c r="F66" s="418"/>
      <c r="G66" s="422"/>
      <c r="H66" s="601" t="s">
        <v>12</v>
      </c>
      <c r="I66" s="427"/>
      <c r="J66" s="427"/>
      <c r="K66" s="428"/>
      <c r="L66" s="521">
        <v>0</v>
      </c>
      <c r="M66" s="521">
        <v>0</v>
      </c>
      <c r="N66" s="521">
        <v>0</v>
      </c>
      <c r="O66" s="521">
        <f>IF(L66&gt;0,N66*100/L66,0)</f>
        <v>0</v>
      </c>
      <c r="P66" s="521">
        <f>IF(M66&gt;0,N66*100/M66,0)</f>
        <v>0</v>
      </c>
    </row>
    <row r="67" spans="1:16" ht="18.75" x14ac:dyDescent="0.25">
      <c r="A67" s="750"/>
      <c r="B67" s="516"/>
      <c r="C67" s="516"/>
      <c r="D67" s="516"/>
      <c r="E67" s="749" t="s">
        <v>19</v>
      </c>
      <c r="F67" s="516"/>
      <c r="G67" s="515"/>
      <c r="H67" s="748" t="s">
        <v>12</v>
      </c>
      <c r="I67" s="563"/>
      <c r="J67" s="563"/>
      <c r="K67" s="510"/>
      <c r="L67" s="747">
        <f ca="1">IFERROR(__xludf.DUMMYFUNCTION("IMPORTRANGE(""https://docs.google.com/spreadsheets/d/1-uDff_7J0KD5mKrp0Vvzr7lt3OU09vwQwhkpOPPYv2Y/edit?usp=sharing"",""งบพรบ!AF30"")"),0)</f>
        <v>0</v>
      </c>
      <c r="M67" s="747">
        <f ca="1">IFERROR(__xludf.DUMMYFUNCTION("IMPORTRANGE(""https://docs.google.com/spreadsheets/d/1-uDff_7J0KD5mKrp0Vvzr7lt3OU09vwQwhkpOPPYv2Y/edit?usp=sharing"",""งบพรบ!AI30"")"),0)</f>
        <v>0</v>
      </c>
      <c r="N67" s="747">
        <f ca="1">IFERROR(__xludf.DUMMYFUNCTION("IMPORTRANGE(""https://docs.google.com/spreadsheets/d/1-uDff_7J0KD5mKrp0Vvzr7lt3OU09vwQwhkpOPPYv2Y/edit?usp=sharing"",""งบพรบ!AK30"")"),0)</f>
        <v>0</v>
      </c>
      <c r="O67" s="747">
        <f ca="1">IF(L67&gt;0,N67*100/L67,0)</f>
        <v>0</v>
      </c>
      <c r="P67" s="747">
        <f ca="1">IF(M67&gt;0,N67*100/M67,0)</f>
        <v>0</v>
      </c>
    </row>
    <row r="68" spans="1:16" ht="19.5" x14ac:dyDescent="0.3">
      <c r="A68" s="746" t="s">
        <v>29</v>
      </c>
      <c r="B68" s="745"/>
      <c r="C68" s="745"/>
      <c r="D68" s="745"/>
      <c r="E68" s="744"/>
      <c r="F68" s="744"/>
      <c r="G68" s="744"/>
      <c r="H68" s="744"/>
      <c r="I68" s="743"/>
      <c r="J68" s="743"/>
      <c r="K68" s="742"/>
      <c r="L68" s="742"/>
      <c r="M68" s="742"/>
      <c r="N68" s="742"/>
      <c r="O68" s="742"/>
      <c r="P68" s="741"/>
    </row>
    <row r="69" spans="1:16" ht="19.5" x14ac:dyDescent="0.3">
      <c r="A69" s="716" t="s">
        <v>30</v>
      </c>
      <c r="B69" s="714"/>
      <c r="C69" s="740"/>
      <c r="D69" s="714"/>
      <c r="E69" s="714"/>
      <c r="F69" s="714"/>
      <c r="G69" s="739"/>
      <c r="H69" s="739"/>
      <c r="I69" s="738"/>
      <c r="J69" s="738"/>
      <c r="K69" s="711"/>
      <c r="L69" s="711"/>
      <c r="M69" s="711"/>
      <c r="N69" s="711"/>
      <c r="O69" s="711"/>
      <c r="P69" s="711"/>
    </row>
    <row r="70" spans="1:16" ht="19.5" x14ac:dyDescent="0.3">
      <c r="A70" s="710"/>
      <c r="B70" s="709" t="s">
        <v>31</v>
      </c>
      <c r="C70" s="708"/>
      <c r="D70" s="718"/>
      <c r="E70" s="708"/>
      <c r="F70" s="708"/>
      <c r="G70" s="707"/>
      <c r="H70" s="717" t="s">
        <v>32</v>
      </c>
      <c r="I70" s="705">
        <f ca="1">I82</f>
        <v>1</v>
      </c>
      <c r="J70" s="705">
        <f>J82</f>
        <v>0</v>
      </c>
      <c r="K70" s="704">
        <f ca="1">IF(I70&gt;0,J70*100/I70,0)</f>
        <v>0</v>
      </c>
      <c r="L70" s="703"/>
      <c r="M70" s="703"/>
      <c r="N70" s="703"/>
      <c r="O70" s="703"/>
      <c r="P70" s="703"/>
    </row>
    <row r="71" spans="1:16" ht="19.5" x14ac:dyDescent="0.3">
      <c r="A71" s="710"/>
      <c r="B71" s="708"/>
      <c r="C71" s="708"/>
      <c r="D71" s="718"/>
      <c r="E71" s="708"/>
      <c r="F71" s="708"/>
      <c r="G71" s="707"/>
      <c r="H71" s="717" t="s">
        <v>33</v>
      </c>
      <c r="I71" s="705">
        <f ca="1">I83</f>
        <v>32</v>
      </c>
      <c r="J71" s="705">
        <f>J83</f>
        <v>0</v>
      </c>
      <c r="K71" s="704">
        <f ca="1">IF(I71&gt;0,J71*100/I71,0)</f>
        <v>0</v>
      </c>
      <c r="L71" s="703"/>
      <c r="M71" s="703"/>
      <c r="N71" s="703"/>
      <c r="O71" s="703"/>
      <c r="P71" s="703"/>
    </row>
    <row r="72" spans="1:16" ht="19.5" x14ac:dyDescent="0.3">
      <c r="A72" s="535"/>
      <c r="B72" s="418"/>
      <c r="C72" s="570" t="s">
        <v>16</v>
      </c>
      <c r="D72" s="579" t="s">
        <v>17</v>
      </c>
      <c r="E72" s="418"/>
      <c r="F72" s="418"/>
      <c r="G72" s="422"/>
      <c r="H72" s="578" t="s">
        <v>12</v>
      </c>
      <c r="I72" s="427"/>
      <c r="J72" s="427"/>
      <c r="K72" s="428"/>
      <c r="L72" s="577">
        <f ca="1">L73+L74</f>
        <v>243600</v>
      </c>
      <c r="M72" s="577">
        <f ca="1">M73+M74</f>
        <v>243600</v>
      </c>
      <c r="N72" s="577">
        <f ca="1">N73+N74</f>
        <v>54570</v>
      </c>
      <c r="O72" s="577">
        <f ca="1">IF(L72&gt;0,N72*100/L72,0)</f>
        <v>22.401477832512317</v>
      </c>
      <c r="P72" s="577">
        <f ca="1">IF(M72&gt;0,N72*100/M72,0)</f>
        <v>22.401477832512317</v>
      </c>
    </row>
    <row r="73" spans="1:16" ht="18.75" hidden="1" x14ac:dyDescent="0.25">
      <c r="A73" s="535"/>
      <c r="B73" s="418"/>
      <c r="C73" s="418"/>
      <c r="D73" s="418"/>
      <c r="E73" s="534" t="s">
        <v>18</v>
      </c>
      <c r="F73" s="418"/>
      <c r="G73" s="422"/>
      <c r="H73" s="538" t="s">
        <v>12</v>
      </c>
      <c r="I73" s="427"/>
      <c r="J73" s="427"/>
      <c r="K73" s="428"/>
      <c r="L73" s="521">
        <f>L76+L79</f>
        <v>0</v>
      </c>
      <c r="M73" s="521">
        <f>M76+M79</f>
        <v>0</v>
      </c>
      <c r="N73" s="521">
        <f>N76+N79</f>
        <v>0</v>
      </c>
      <c r="O73" s="521">
        <f>IF(L73&gt;0,N73*100/L73,0)</f>
        <v>0</v>
      </c>
      <c r="P73" s="521">
        <f>IF(M73&gt;0,N73*100/M73,0)</f>
        <v>0</v>
      </c>
    </row>
    <row r="74" spans="1:16" ht="18.75" x14ac:dyDescent="0.25">
      <c r="A74" s="535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243600</v>
      </c>
      <c r="M74" s="425">
        <f ca="1">M77+M80</f>
        <v>243600</v>
      </c>
      <c r="N74" s="425">
        <f ca="1">N77+N80</f>
        <v>54570</v>
      </c>
      <c r="O74" s="425">
        <f ca="1">IF(L74&gt;0,N74*100/L74,0)</f>
        <v>22.401477832512317</v>
      </c>
      <c r="P74" s="425">
        <f ca="1">IF(M74&gt;0,N74*100/M74,0)</f>
        <v>22.401477832512317</v>
      </c>
    </row>
    <row r="75" spans="1:16" ht="18.75" x14ac:dyDescent="0.25">
      <c r="A75" s="535"/>
      <c r="B75" s="418"/>
      <c r="C75" s="418"/>
      <c r="D75" s="575" t="s">
        <v>20</v>
      </c>
      <c r="E75" s="418"/>
      <c r="F75" s="418"/>
      <c r="G75" s="422"/>
      <c r="H75" s="576" t="s">
        <v>12</v>
      </c>
      <c r="I75" s="526"/>
      <c r="J75" s="526"/>
      <c r="K75" s="525"/>
      <c r="L75" s="425">
        <f ca="1">L76+L77</f>
        <v>243600</v>
      </c>
      <c r="M75" s="425">
        <f ca="1">M76+M77</f>
        <v>243600</v>
      </c>
      <c r="N75" s="425">
        <f ca="1">N76+N77</f>
        <v>54570</v>
      </c>
      <c r="O75" s="425">
        <f ca="1">IF(L75&gt;0,N75*100/L75,0)</f>
        <v>22.401477832512317</v>
      </c>
      <c r="P75" s="425">
        <f ca="1">IF(M75&gt;0,N75*100/M75,0)</f>
        <v>22.401477832512317</v>
      </c>
    </row>
    <row r="76" spans="1:16" ht="18.75" hidden="1" x14ac:dyDescent="0.25">
      <c r="A76" s="535"/>
      <c r="B76" s="418"/>
      <c r="C76" s="418"/>
      <c r="D76" s="418"/>
      <c r="E76" s="534" t="s">
        <v>34</v>
      </c>
      <c r="F76" s="418"/>
      <c r="G76" s="422"/>
      <c r="H76" s="536" t="s">
        <v>12</v>
      </c>
      <c r="I76" s="526"/>
      <c r="J76" s="526"/>
      <c r="K76" s="525"/>
      <c r="L76" s="521">
        <v>0</v>
      </c>
      <c r="M76" s="521">
        <v>0</v>
      </c>
      <c r="N76" s="521">
        <v>0</v>
      </c>
      <c r="O76" s="521">
        <f>IF(L76&gt;0,N76*100/L76,0)</f>
        <v>0</v>
      </c>
      <c r="P76" s="521">
        <f>IF(M76&gt;0,N76*100/M76,0)</f>
        <v>0</v>
      </c>
    </row>
    <row r="77" spans="1:16" ht="18.75" x14ac:dyDescent="0.25">
      <c r="A77" s="535"/>
      <c r="B77" s="418"/>
      <c r="C77" s="418"/>
      <c r="D77" s="418"/>
      <c r="E77" s="293" t="s">
        <v>35</v>
      </c>
      <c r="F77" s="418"/>
      <c r="G77" s="422"/>
      <c r="H77" s="576" t="s">
        <v>12</v>
      </c>
      <c r="I77" s="526"/>
      <c r="J77" s="526"/>
      <c r="K77" s="525"/>
      <c r="L77" s="425">
        <f ca="1">IFERROR(__xludf.DUMMYFUNCTION("IMPORTRANGE(""https://docs.google.com/spreadsheets/d/1-uDff_7J0KD5mKrp0Vvzr7lt3OU09vwQwhkpOPPYv2Y/edit?usp=sharing"",""งบพรบ!AM30"")"),243600)</f>
        <v>243600</v>
      </c>
      <c r="M77" s="425">
        <f ca="1">IFERROR(__xludf.DUMMYFUNCTION("IMPORTRANGE(""https://docs.google.com/spreadsheets/d/1-uDff_7J0KD5mKrp0Vvzr7lt3OU09vwQwhkpOPPYv2Y/edit?usp=sharing"",""งบพรบ!AR30"")"),243600)</f>
        <v>243600</v>
      </c>
      <c r="N77" s="425">
        <f ca="1">IFERROR(__xludf.DUMMYFUNCTION("IMPORTRANGE(""https://docs.google.com/spreadsheets/d/1-uDff_7J0KD5mKrp0Vvzr7lt3OU09vwQwhkpOPPYv2Y/edit?usp=sharing"",""งบพรบ!AT30"")"),54570)</f>
        <v>54570</v>
      </c>
      <c r="O77" s="425">
        <f ca="1">IF(L77&gt;0,N77*100/L77,0)</f>
        <v>22.401477832512317</v>
      </c>
      <c r="P77" s="425">
        <f ca="1">IF(M77&gt;0,N77*100/M77,0)</f>
        <v>22.401477832512317</v>
      </c>
    </row>
    <row r="78" spans="1:16" ht="18.75" x14ac:dyDescent="0.25">
      <c r="A78" s="535"/>
      <c r="B78" s="418"/>
      <c r="C78" s="418"/>
      <c r="D78" s="575" t="s">
        <v>21</v>
      </c>
      <c r="E78" s="418"/>
      <c r="F78" s="418"/>
      <c r="G78" s="422"/>
      <c r="H78" s="574" t="s">
        <v>12</v>
      </c>
      <c r="I78" s="526"/>
      <c r="J78" s="526"/>
      <c r="K78" s="525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35"/>
      <c r="B79" s="418"/>
      <c r="C79" s="418"/>
      <c r="D79" s="418"/>
      <c r="E79" s="534" t="s">
        <v>18</v>
      </c>
      <c r="F79" s="418"/>
      <c r="G79" s="422"/>
      <c r="H79" s="536" t="s">
        <v>12</v>
      </c>
      <c r="I79" s="526"/>
      <c r="J79" s="526"/>
      <c r="K79" s="525"/>
      <c r="L79" s="521">
        <v>0</v>
      </c>
      <c r="M79" s="428"/>
      <c r="N79" s="428"/>
      <c r="O79" s="521">
        <f>IF(L79&gt;0,N79*100/L79,0)</f>
        <v>0</v>
      </c>
      <c r="P79" s="521">
        <f>IF(M79&gt;0,N79*100/M79,0)</f>
        <v>0</v>
      </c>
    </row>
    <row r="80" spans="1:16" ht="18.75" x14ac:dyDescent="0.25">
      <c r="A80" s="535"/>
      <c r="B80" s="418"/>
      <c r="C80" s="418"/>
      <c r="D80" s="418"/>
      <c r="E80" s="293" t="s">
        <v>19</v>
      </c>
      <c r="F80" s="418"/>
      <c r="G80" s="422"/>
      <c r="H80" s="574" t="s">
        <v>12</v>
      </c>
      <c r="I80" s="526"/>
      <c r="J80" s="526"/>
      <c r="K80" s="525"/>
      <c r="L80" s="425">
        <f ca="1">IFERROR(__xludf.DUMMYFUNCTION("IMPORTRANGE(""https://docs.google.com/spreadsheets/d/1-uDff_7J0KD5mKrp0Vvzr7lt3OU09vwQwhkpOPPYv2Y/edit?usp=sharing"",""งบพรบ!AP30"")"),0)</f>
        <v>0</v>
      </c>
      <c r="M80" s="425">
        <f ca="1">IFERROR(__xludf.DUMMYFUNCTION("IMPORTRANGE(""https://docs.google.com/spreadsheets/d/1-uDff_7J0KD5mKrp0Vvzr7lt3OU09vwQwhkpOPPYv2Y/edit?usp=sharing"",""งบพรบ!AS30"")"),0)</f>
        <v>0</v>
      </c>
      <c r="N80" s="425">
        <f ca="1">IFERROR(__xludf.DUMMYFUNCTION("IMPORTRANGE(""https://docs.google.com/spreadsheets/d/1-uDff_7J0KD5mKrp0Vvzr7lt3OU09vwQwhkpOPPYv2Y/edit?usp=sharing"",""งบพรบ!AU30"")"),0)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x14ac:dyDescent="0.3">
      <c r="A81" s="532"/>
      <c r="B81" s="430"/>
      <c r="C81" s="570" t="s">
        <v>16</v>
      </c>
      <c r="D81" s="569" t="s">
        <v>36</v>
      </c>
      <c r="E81" s="529"/>
      <c r="F81" s="529"/>
      <c r="G81" s="528"/>
      <c r="H81" s="527"/>
      <c r="I81" s="526"/>
      <c r="J81" s="526"/>
      <c r="K81" s="525"/>
      <c r="L81" s="525"/>
      <c r="M81" s="525"/>
      <c r="N81" s="525"/>
      <c r="O81" s="525"/>
      <c r="P81" s="525"/>
    </row>
    <row r="82" spans="1:16" ht="19.5" x14ac:dyDescent="0.3">
      <c r="A82" s="532"/>
      <c r="B82" s="430"/>
      <c r="C82" s="430"/>
      <c r="D82" s="567" t="s">
        <v>37</v>
      </c>
      <c r="E82" s="420"/>
      <c r="F82" s="420"/>
      <c r="G82" s="527"/>
      <c r="H82" s="626" t="s">
        <v>32</v>
      </c>
      <c r="I82" s="625">
        <f ca="1">I84+I86+I88</f>
        <v>1</v>
      </c>
      <c r="J82" s="625">
        <f>J84+J86+J88</f>
        <v>0</v>
      </c>
      <c r="K82" s="624">
        <f ca="1">IF(I82&gt;0,J82*100/I82,0)</f>
        <v>0</v>
      </c>
      <c r="L82" s="525"/>
      <c r="M82" s="525"/>
      <c r="N82" s="525"/>
      <c r="O82" s="525"/>
      <c r="P82" s="525"/>
    </row>
    <row r="83" spans="1:16" ht="19.5" x14ac:dyDescent="0.3">
      <c r="A83" s="532"/>
      <c r="B83" s="430"/>
      <c r="C83" s="430"/>
      <c r="D83" s="430"/>
      <c r="E83" s="420"/>
      <c r="F83" s="420"/>
      <c r="G83" s="527"/>
      <c r="H83" s="626" t="s">
        <v>33</v>
      </c>
      <c r="I83" s="625">
        <f ca="1">I85+I87+I89</f>
        <v>32</v>
      </c>
      <c r="J83" s="625">
        <f>J85+J87+J89</f>
        <v>0</v>
      </c>
      <c r="K83" s="624">
        <f ca="1">IF(I83&gt;0,J83*100/I83,0)</f>
        <v>0</v>
      </c>
      <c r="L83" s="525"/>
      <c r="M83" s="525"/>
      <c r="N83" s="525"/>
      <c r="O83" s="525"/>
      <c r="P83" s="525"/>
    </row>
    <row r="84" spans="1:16" ht="18.75" x14ac:dyDescent="0.25">
      <c r="A84" s="532"/>
      <c r="B84" s="430"/>
      <c r="C84" s="430"/>
      <c r="D84" s="430"/>
      <c r="E84" s="421" t="s">
        <v>38</v>
      </c>
      <c r="F84" s="420"/>
      <c r="G84" s="527"/>
      <c r="H84" s="566" t="s">
        <v>32</v>
      </c>
      <c r="I84" s="622">
        <f ca="1">IFERROR(__xludf.DUMMYFUNCTION("IMPORTRANGE(""https://docs.google.com/spreadsheets/d/1eHaY18a8A9IcSdp1K8H6x8fbOy06t2VsZHhMHf-1x7Y/edit?usp=sharing"",""แผน!H30"")"),0)</f>
        <v>0</v>
      </c>
      <c r="J84" s="595">
        <v>0</v>
      </c>
      <c r="K84" s="621">
        <f ca="1">IF(I84&gt;0,J84*100/I84,0)</f>
        <v>0</v>
      </c>
      <c r="L84" s="525"/>
      <c r="M84" s="525"/>
      <c r="N84" s="525"/>
      <c r="O84" s="525"/>
      <c r="P84" s="525"/>
    </row>
    <row r="85" spans="1:16" ht="18.75" x14ac:dyDescent="0.25">
      <c r="A85" s="532"/>
      <c r="B85" s="430"/>
      <c r="C85" s="430"/>
      <c r="D85" s="430"/>
      <c r="E85" s="420"/>
      <c r="F85" s="420"/>
      <c r="G85" s="527"/>
      <c r="H85" s="566" t="s">
        <v>33</v>
      </c>
      <c r="I85" s="622">
        <f ca="1">IFERROR(__xludf.DUMMYFUNCTION("IMPORTRANGE(""https://docs.google.com/spreadsheets/d/1eHaY18a8A9IcSdp1K8H6x8fbOy06t2VsZHhMHf-1x7Y/edit?usp=sharing"",""แผน!I30"")"),0)</f>
        <v>0</v>
      </c>
      <c r="J85" s="595">
        <v>0</v>
      </c>
      <c r="K85" s="621">
        <f ca="1">IF(I85&gt;0,J85*100/I85,0)</f>
        <v>0</v>
      </c>
      <c r="L85" s="525"/>
      <c r="M85" s="525"/>
      <c r="N85" s="525"/>
      <c r="O85" s="525"/>
      <c r="P85" s="525"/>
    </row>
    <row r="86" spans="1:16" ht="18.75" x14ac:dyDescent="0.25">
      <c r="A86" s="532"/>
      <c r="B86" s="430"/>
      <c r="C86" s="430"/>
      <c r="D86" s="430"/>
      <c r="E86" s="421" t="s">
        <v>39</v>
      </c>
      <c r="F86" s="420"/>
      <c r="G86" s="527"/>
      <c r="H86" s="566" t="s">
        <v>32</v>
      </c>
      <c r="I86" s="622">
        <f ca="1">IFERROR(__xludf.DUMMYFUNCTION("IMPORTRANGE(""https://docs.google.com/spreadsheets/d/1eHaY18a8A9IcSdp1K8H6x8fbOy06t2VsZHhMHf-1x7Y/edit?usp=sharing"",""แผน!F30"")"),0)</f>
        <v>0</v>
      </c>
      <c r="J86" s="595">
        <v>0</v>
      </c>
      <c r="K86" s="621">
        <f ca="1">IF(I86&gt;0,J86*100/I86,0)</f>
        <v>0</v>
      </c>
      <c r="L86" s="525"/>
      <c r="M86" s="525"/>
      <c r="N86" s="525"/>
      <c r="O86" s="525"/>
      <c r="P86" s="525"/>
    </row>
    <row r="87" spans="1:16" ht="18.75" x14ac:dyDescent="0.25">
      <c r="A87" s="532"/>
      <c r="B87" s="430"/>
      <c r="C87" s="430"/>
      <c r="D87" s="430"/>
      <c r="E87" s="420"/>
      <c r="F87" s="420"/>
      <c r="G87" s="527"/>
      <c r="H87" s="566" t="s">
        <v>33</v>
      </c>
      <c r="I87" s="622">
        <f ca="1">IFERROR(__xludf.DUMMYFUNCTION("IMPORTRANGE(""https://docs.google.com/spreadsheets/d/1eHaY18a8A9IcSdp1K8H6x8fbOy06t2VsZHhMHf-1x7Y/edit?usp=sharing"",""แผน!G30"")"),0)</f>
        <v>0</v>
      </c>
      <c r="J87" s="595">
        <v>0</v>
      </c>
      <c r="K87" s="621">
        <f ca="1">IF(I87&gt;0,J87*100/I87,0)</f>
        <v>0</v>
      </c>
      <c r="L87" s="525"/>
      <c r="M87" s="525"/>
      <c r="N87" s="525"/>
      <c r="O87" s="525"/>
      <c r="P87" s="525"/>
    </row>
    <row r="88" spans="1:16" ht="18.75" x14ac:dyDescent="0.25">
      <c r="A88" s="532"/>
      <c r="B88" s="430"/>
      <c r="C88" s="430"/>
      <c r="D88" s="430"/>
      <c r="E88" s="421" t="s">
        <v>40</v>
      </c>
      <c r="F88" s="420"/>
      <c r="G88" s="527"/>
      <c r="H88" s="566" t="s">
        <v>32</v>
      </c>
      <c r="I88" s="622">
        <f ca="1">IFERROR(__xludf.DUMMYFUNCTION("IMPORTRANGE(""https://docs.google.com/spreadsheets/d/1eHaY18a8A9IcSdp1K8H6x8fbOy06t2VsZHhMHf-1x7Y/edit?usp=sharing"",""แผน!D30"")"),1)</f>
        <v>1</v>
      </c>
      <c r="J88" s="595">
        <v>0</v>
      </c>
      <c r="K88" s="621">
        <f ca="1">IF(I88&gt;0,J88*100/I88,0)</f>
        <v>0</v>
      </c>
      <c r="L88" s="525"/>
      <c r="M88" s="525"/>
      <c r="N88" s="525"/>
      <c r="O88" s="525"/>
      <c r="P88" s="525"/>
    </row>
    <row r="89" spans="1:16" ht="18.75" x14ac:dyDescent="0.25">
      <c r="A89" s="532"/>
      <c r="B89" s="430"/>
      <c r="C89" s="430"/>
      <c r="D89" s="430"/>
      <c r="E89" s="420"/>
      <c r="F89" s="420"/>
      <c r="G89" s="527"/>
      <c r="H89" s="566" t="s">
        <v>33</v>
      </c>
      <c r="I89" s="622">
        <f ca="1">IFERROR(__xludf.DUMMYFUNCTION("IMPORTRANGE(""https://docs.google.com/spreadsheets/d/1eHaY18a8A9IcSdp1K8H6x8fbOy06t2VsZHhMHf-1x7Y/edit?usp=sharing"",""แผน!E30"")"),32)</f>
        <v>32</v>
      </c>
      <c r="J89" s="595">
        <v>0</v>
      </c>
      <c r="K89" s="621">
        <f ca="1">IF(I89&gt;0,J89*100/I89,0)</f>
        <v>0</v>
      </c>
      <c r="L89" s="525"/>
      <c r="M89" s="525"/>
      <c r="N89" s="525"/>
      <c r="O89" s="525"/>
      <c r="P89" s="525"/>
    </row>
    <row r="90" spans="1:16" ht="18.75" x14ac:dyDescent="0.25">
      <c r="A90" s="532"/>
      <c r="B90" s="430"/>
      <c r="C90" s="430"/>
      <c r="D90" s="567" t="s">
        <v>41</v>
      </c>
      <c r="E90" s="420"/>
      <c r="F90" s="420"/>
      <c r="G90" s="527"/>
      <c r="H90" s="568" t="s">
        <v>32</v>
      </c>
      <c r="I90" s="622">
        <f ca="1">IFERROR(__xludf.DUMMYFUNCTION("IMPORTRANGE(""https://docs.google.com/spreadsheets/d/1eHaY18a8A9IcSdp1K8H6x8fbOy06t2VsZHhMHf-1x7Y/edit?usp=sharing"",""แผน!J30"")"),1)</f>
        <v>1</v>
      </c>
      <c r="J90" s="595">
        <v>0</v>
      </c>
      <c r="K90" s="621">
        <f ca="1">IF(I90&gt;0,J90*100/I90,0)</f>
        <v>0</v>
      </c>
      <c r="L90" s="525"/>
      <c r="M90" s="525"/>
      <c r="N90" s="525"/>
      <c r="O90" s="525"/>
      <c r="P90" s="525"/>
    </row>
    <row r="91" spans="1:16" ht="19.5" hidden="1" x14ac:dyDescent="0.3">
      <c r="A91" s="716" t="s">
        <v>42</v>
      </c>
      <c r="B91" s="714"/>
      <c r="C91" s="740"/>
      <c r="D91" s="714"/>
      <c r="E91" s="714"/>
      <c r="F91" s="714"/>
      <c r="G91" s="739"/>
      <c r="H91" s="739"/>
      <c r="I91" s="738"/>
      <c r="J91" s="738"/>
      <c r="K91" s="711"/>
      <c r="L91" s="711"/>
      <c r="M91" s="711"/>
      <c r="N91" s="711"/>
      <c r="O91" s="711"/>
      <c r="P91" s="711"/>
    </row>
    <row r="92" spans="1:16" ht="19.5" hidden="1" x14ac:dyDescent="0.3">
      <c r="A92" s="710"/>
      <c r="B92" s="709" t="s">
        <v>43</v>
      </c>
      <c r="C92" s="708"/>
      <c r="D92" s="718"/>
      <c r="E92" s="708"/>
      <c r="F92" s="708"/>
      <c r="G92" s="707"/>
      <c r="H92" s="717" t="s">
        <v>44</v>
      </c>
      <c r="I92" s="705">
        <f ca="1">I108</f>
        <v>0</v>
      </c>
      <c r="J92" s="705">
        <f>J108</f>
        <v>0</v>
      </c>
      <c r="K92" s="704">
        <f ca="1">IF(I92&gt;0,J92*100/I92,0)</f>
        <v>0</v>
      </c>
      <c r="L92" s="703"/>
      <c r="M92" s="703"/>
      <c r="N92" s="703"/>
      <c r="O92" s="703"/>
      <c r="P92" s="703"/>
    </row>
    <row r="93" spans="1:16" ht="19.5" hidden="1" x14ac:dyDescent="0.3">
      <c r="A93" s="710"/>
      <c r="B93" s="708"/>
      <c r="C93" s="708"/>
      <c r="D93" s="718"/>
      <c r="E93" s="708"/>
      <c r="F93" s="708"/>
      <c r="G93" s="707"/>
      <c r="H93" s="717" t="s">
        <v>33</v>
      </c>
      <c r="I93" s="705">
        <f ca="1">I109</f>
        <v>0</v>
      </c>
      <c r="J93" s="705">
        <f>J109</f>
        <v>0</v>
      </c>
      <c r="K93" s="704">
        <f ca="1">IF(I93&gt;0,J93*100/I93,0)</f>
        <v>0</v>
      </c>
      <c r="L93" s="703"/>
      <c r="M93" s="703"/>
      <c r="N93" s="703"/>
      <c r="O93" s="703"/>
      <c r="P93" s="703"/>
    </row>
    <row r="94" spans="1:16" ht="19.5" hidden="1" x14ac:dyDescent="0.3">
      <c r="A94" s="535"/>
      <c r="B94" s="418"/>
      <c r="C94" s="570" t="s">
        <v>16</v>
      </c>
      <c r="D94" s="579" t="s">
        <v>17</v>
      </c>
      <c r="E94" s="418"/>
      <c r="F94" s="418"/>
      <c r="G94" s="422"/>
      <c r="H94" s="578" t="s">
        <v>12</v>
      </c>
      <c r="I94" s="427"/>
      <c r="J94" s="427"/>
      <c r="K94" s="428"/>
      <c r="L94" s="577">
        <f ca="1">L95+L96</f>
        <v>0</v>
      </c>
      <c r="M94" s="577">
        <f ca="1">M95+M96</f>
        <v>0</v>
      </c>
      <c r="N94" s="577">
        <f ca="1">N95+N96</f>
        <v>0</v>
      </c>
      <c r="O94" s="577">
        <f ca="1">IF(L94&gt;0,N94*100/L94,0)</f>
        <v>0</v>
      </c>
      <c r="P94" s="577">
        <f ca="1">IF(M94&gt;0,N94*100/M94,0)</f>
        <v>0</v>
      </c>
    </row>
    <row r="95" spans="1:16" ht="18.75" hidden="1" x14ac:dyDescent="0.25">
      <c r="A95" s="535"/>
      <c r="B95" s="418"/>
      <c r="C95" s="418"/>
      <c r="D95" s="418"/>
      <c r="E95" s="534" t="s">
        <v>18</v>
      </c>
      <c r="F95" s="418"/>
      <c r="G95" s="422"/>
      <c r="H95" s="538" t="s">
        <v>12</v>
      </c>
      <c r="I95" s="427"/>
      <c r="J95" s="427"/>
      <c r="K95" s="428"/>
      <c r="L95" s="521">
        <f>L98+L101</f>
        <v>0</v>
      </c>
      <c r="M95" s="521">
        <f>M98+M101</f>
        <v>0</v>
      </c>
      <c r="N95" s="521">
        <f>N98+N101</f>
        <v>0</v>
      </c>
      <c r="O95" s="521">
        <f>IF(L95&gt;0,N95*100/L95,0)</f>
        <v>0</v>
      </c>
      <c r="P95" s="521">
        <f>IF(M95&gt;0,N95*100/M95,0)</f>
        <v>0</v>
      </c>
    </row>
    <row r="96" spans="1:16" ht="18.75" hidden="1" x14ac:dyDescent="0.25">
      <c r="A96" s="535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35"/>
      <c r="B97" s="418"/>
      <c r="C97" s="418"/>
      <c r="D97" s="575" t="s">
        <v>20</v>
      </c>
      <c r="E97" s="418"/>
      <c r="F97" s="418"/>
      <c r="G97" s="422"/>
      <c r="H97" s="576" t="s">
        <v>12</v>
      </c>
      <c r="I97" s="526"/>
      <c r="J97" s="526"/>
      <c r="K97" s="525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35"/>
      <c r="B98" s="418"/>
      <c r="C98" s="418"/>
      <c r="D98" s="418"/>
      <c r="E98" s="534" t="s">
        <v>34</v>
      </c>
      <c r="F98" s="418"/>
      <c r="G98" s="422"/>
      <c r="H98" s="536" t="s">
        <v>12</v>
      </c>
      <c r="I98" s="526"/>
      <c r="J98" s="526"/>
      <c r="K98" s="525"/>
      <c r="L98" s="521">
        <v>0</v>
      </c>
      <c r="M98" s="521">
        <v>0</v>
      </c>
      <c r="N98" s="521">
        <v>0</v>
      </c>
      <c r="O98" s="521">
        <f>IF(L98&gt;0,N98*100/L98,0)</f>
        <v>0</v>
      </c>
      <c r="P98" s="521">
        <f>IF(M98&gt;0,N98*100/M98,0)</f>
        <v>0</v>
      </c>
    </row>
    <row r="99" spans="1:16" ht="18.75" hidden="1" x14ac:dyDescent="0.25">
      <c r="A99" s="535"/>
      <c r="B99" s="418"/>
      <c r="C99" s="418"/>
      <c r="D99" s="418"/>
      <c r="E99" s="293" t="s">
        <v>35</v>
      </c>
      <c r="F99" s="418"/>
      <c r="G99" s="422"/>
      <c r="H99" s="576" t="s">
        <v>12</v>
      </c>
      <c r="I99" s="526"/>
      <c r="J99" s="526"/>
      <c r="K99" s="525"/>
      <c r="L99" s="425">
        <f ca="1">IFERROR(__xludf.DUMMYFUNCTION("IMPORTRANGE(""https://docs.google.com/spreadsheets/d/1-uDff_7J0KD5mKrp0Vvzr7lt3OU09vwQwhkpOPPYv2Y/edit?usp=sharing"",""งบพรบ!AW30"")"),0)</f>
        <v>0</v>
      </c>
      <c r="M99" s="425">
        <f ca="1">IFERROR(__xludf.DUMMYFUNCTION("IMPORTRANGE(""https://docs.google.com/spreadsheets/d/1-uDff_7J0KD5mKrp0Vvzr7lt3OU09vwQwhkpOPPYv2Y/edit?usp=sharing"",""งบพรบ!BB30"")"),0)</f>
        <v>0</v>
      </c>
      <c r="N99" s="425">
        <f ca="1">IFERROR(__xludf.DUMMYFUNCTION("IMPORTRANGE(""https://docs.google.com/spreadsheets/d/1-uDff_7J0KD5mKrp0Vvzr7lt3OU09vwQwhkpOPPYv2Y/edit?usp=sharing"",""งบพรบ!BD30"")"),0)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35"/>
      <c r="B100" s="418"/>
      <c r="C100" s="418"/>
      <c r="D100" s="575" t="s">
        <v>21</v>
      </c>
      <c r="E100" s="418"/>
      <c r="F100" s="418"/>
      <c r="G100" s="422"/>
      <c r="H100" s="574" t="s">
        <v>12</v>
      </c>
      <c r="I100" s="526"/>
      <c r="J100" s="526"/>
      <c r="K100" s="525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35"/>
      <c r="B101" s="418"/>
      <c r="C101" s="418"/>
      <c r="D101" s="418"/>
      <c r="E101" s="534" t="s">
        <v>18</v>
      </c>
      <c r="F101" s="418"/>
      <c r="G101" s="422"/>
      <c r="H101" s="536" t="s">
        <v>12</v>
      </c>
      <c r="I101" s="526"/>
      <c r="J101" s="526"/>
      <c r="K101" s="525"/>
      <c r="L101" s="521">
        <v>0</v>
      </c>
      <c r="M101" s="521">
        <v>0</v>
      </c>
      <c r="N101" s="521">
        <v>0</v>
      </c>
      <c r="O101" s="521">
        <f>IF(L101&gt;0,N101*100/L101,0)</f>
        <v>0</v>
      </c>
      <c r="P101" s="521">
        <f>IF(M101&gt;0,N101*100/M101,0)</f>
        <v>0</v>
      </c>
    </row>
    <row r="102" spans="1:16" ht="18.75" hidden="1" x14ac:dyDescent="0.25">
      <c r="A102" s="535"/>
      <c r="B102" s="418"/>
      <c r="C102" s="418"/>
      <c r="D102" s="418"/>
      <c r="E102" s="293" t="s">
        <v>19</v>
      </c>
      <c r="F102" s="418"/>
      <c r="G102" s="422"/>
      <c r="H102" s="574" t="s">
        <v>12</v>
      </c>
      <c r="I102" s="526"/>
      <c r="J102" s="526"/>
      <c r="K102" s="525"/>
      <c r="L102" s="425">
        <f ca="1">IFERROR(__xludf.DUMMYFUNCTION("IMPORTRANGE(""https://docs.google.com/spreadsheets/d/1-uDff_7J0KD5mKrp0Vvzr7lt3OU09vwQwhkpOPPYv2Y/edit?usp=sharing"",""งบพรบ!AZ30"")"),0)</f>
        <v>0</v>
      </c>
      <c r="M102" s="425">
        <f ca="1">IFERROR(__xludf.DUMMYFUNCTION("IMPORTRANGE(""https://docs.google.com/spreadsheets/d/1-uDff_7J0KD5mKrp0Vvzr7lt3OU09vwQwhkpOPPYv2Y/edit?usp=sharing"",""งบพรบ!BC30"")"),0)</f>
        <v>0</v>
      </c>
      <c r="N102" s="425">
        <f ca="1">IFERROR(__xludf.DUMMYFUNCTION("IMPORTRANGE(""https://docs.google.com/spreadsheets/d/1-uDff_7J0KD5mKrp0Vvzr7lt3OU09vwQwhkpOPPYv2Y/edit?usp=sharing"",""งบพรบ!BE30"")"),0)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2"/>
      <c r="B103" s="430"/>
      <c r="C103" s="570" t="s">
        <v>16</v>
      </c>
      <c r="D103" s="569" t="s">
        <v>36</v>
      </c>
      <c r="E103" s="529"/>
      <c r="F103" s="529"/>
      <c r="G103" s="528"/>
      <c r="H103" s="527"/>
      <c r="I103" s="526"/>
      <c r="J103" s="427"/>
      <c r="K103" s="428"/>
      <c r="L103" s="428"/>
      <c r="M103" s="428"/>
      <c r="N103" s="428"/>
      <c r="O103" s="525"/>
      <c r="P103" s="525"/>
    </row>
    <row r="104" spans="1:16" ht="12.75" hidden="1" x14ac:dyDescent="0.2">
      <c r="A104" s="620"/>
      <c r="B104" s="619"/>
      <c r="C104" s="619"/>
      <c r="D104" s="618"/>
      <c r="E104" s="618"/>
      <c r="F104" s="618"/>
      <c r="G104" s="617"/>
      <c r="H104" s="617"/>
      <c r="I104" s="616"/>
      <c r="J104" s="616"/>
      <c r="K104" s="615"/>
      <c r="L104" s="615"/>
      <c r="M104" s="615"/>
      <c r="N104" s="615"/>
      <c r="O104" s="615"/>
      <c r="P104" s="615"/>
    </row>
    <row r="105" spans="1:16" ht="12.75" hidden="1" x14ac:dyDescent="0.2">
      <c r="A105" s="620"/>
      <c r="B105" s="619"/>
      <c r="C105" s="619"/>
      <c r="D105" s="618"/>
      <c r="E105" s="618"/>
      <c r="F105" s="618"/>
      <c r="G105" s="617"/>
      <c r="H105" s="617"/>
      <c r="I105" s="616"/>
      <c r="J105" s="616"/>
      <c r="K105" s="615"/>
      <c r="L105" s="615"/>
      <c r="M105" s="615"/>
      <c r="N105" s="615"/>
      <c r="O105" s="615"/>
      <c r="P105" s="615"/>
    </row>
    <row r="106" spans="1:16" ht="12.75" hidden="1" x14ac:dyDescent="0.2">
      <c r="A106" s="620"/>
      <c r="B106" s="619"/>
      <c r="C106" s="619"/>
      <c r="D106" s="619"/>
      <c r="E106" s="618"/>
      <c r="F106" s="618"/>
      <c r="G106" s="617"/>
      <c r="H106" s="617"/>
      <c r="I106" s="616"/>
      <c r="J106" s="616"/>
      <c r="K106" s="615"/>
      <c r="L106" s="615"/>
      <c r="M106" s="615"/>
      <c r="N106" s="615"/>
      <c r="O106" s="615"/>
      <c r="P106" s="615"/>
    </row>
    <row r="107" spans="1:16" ht="19.5" hidden="1" x14ac:dyDescent="0.3">
      <c r="A107" s="532"/>
      <c r="B107" s="430"/>
      <c r="C107" s="430"/>
      <c r="D107" s="623" t="s">
        <v>45</v>
      </c>
      <c r="E107" s="508"/>
      <c r="F107" s="420"/>
      <c r="G107" s="527"/>
      <c r="H107" s="422"/>
      <c r="I107" s="427"/>
      <c r="J107" s="427"/>
      <c r="K107" s="428"/>
      <c r="L107" s="428"/>
      <c r="M107" s="428"/>
      <c r="N107" s="428"/>
      <c r="O107" s="525"/>
      <c r="P107" s="525"/>
    </row>
    <row r="108" spans="1:16" ht="18.75" hidden="1" x14ac:dyDescent="0.25">
      <c r="A108" s="532"/>
      <c r="B108" s="430"/>
      <c r="C108" s="430"/>
      <c r="D108" s="421" t="s">
        <v>46</v>
      </c>
      <c r="E108" s="420"/>
      <c r="F108" s="420"/>
      <c r="G108" s="527"/>
      <c r="H108" s="596" t="s">
        <v>44</v>
      </c>
      <c r="I108" s="424">
        <f ca="1">IFERROR(__xludf.DUMMYFUNCTION("IMPORTRANGE(""https://docs.google.com/spreadsheets/d/1eHaY18a8A9IcSdp1K8H6x8fbOy06t2VsZHhMHf-1x7Y/edit?usp=sharing"",""แผน!N30"")"),0)</f>
        <v>0</v>
      </c>
      <c r="J108" s="595">
        <v>0</v>
      </c>
      <c r="K108" s="425">
        <f ca="1">IF(I108&gt;0,J108*100/I108,0)</f>
        <v>0</v>
      </c>
      <c r="L108" s="428"/>
      <c r="M108" s="428"/>
      <c r="N108" s="428"/>
      <c r="O108" s="525"/>
      <c r="P108" s="525"/>
    </row>
    <row r="109" spans="1:16" ht="18.75" hidden="1" x14ac:dyDescent="0.25">
      <c r="A109" s="532"/>
      <c r="B109" s="430"/>
      <c r="C109" s="430"/>
      <c r="D109" s="421" t="s">
        <v>47</v>
      </c>
      <c r="E109" s="420"/>
      <c r="F109" s="420"/>
      <c r="G109" s="527"/>
      <c r="H109" s="596" t="s">
        <v>33</v>
      </c>
      <c r="I109" s="424">
        <f ca="1">IFERROR(__xludf.DUMMYFUNCTION("IMPORTRANGE(""https://docs.google.com/spreadsheets/d/1eHaY18a8A9IcSdp1K8H6x8fbOy06t2VsZHhMHf-1x7Y/edit?usp=sharing"",""แผน!O30"")"),0)</f>
        <v>0</v>
      </c>
      <c r="J109" s="595">
        <v>0</v>
      </c>
      <c r="K109" s="425">
        <f ca="1">IF(I109&gt;0,J109*100/I109,0)</f>
        <v>0</v>
      </c>
      <c r="L109" s="428"/>
      <c r="M109" s="428"/>
      <c r="N109" s="428"/>
      <c r="O109" s="525"/>
      <c r="P109" s="525"/>
    </row>
    <row r="110" spans="1:16" ht="12.75" hidden="1" x14ac:dyDescent="0.2">
      <c r="A110" s="620"/>
      <c r="B110" s="619"/>
      <c r="C110" s="619"/>
      <c r="D110" s="618"/>
      <c r="E110" s="618"/>
      <c r="F110" s="618"/>
      <c r="G110" s="617"/>
      <c r="H110" s="617"/>
      <c r="I110" s="616"/>
      <c r="J110" s="616"/>
      <c r="K110" s="615"/>
      <c r="L110" s="615"/>
      <c r="M110" s="615"/>
      <c r="N110" s="615"/>
      <c r="O110" s="615"/>
      <c r="P110" s="615"/>
    </row>
    <row r="111" spans="1:16" ht="12.75" hidden="1" x14ac:dyDescent="0.2">
      <c r="A111" s="620"/>
      <c r="B111" s="619"/>
      <c r="C111" s="619"/>
      <c r="D111" s="618"/>
      <c r="E111" s="618"/>
      <c r="F111" s="618"/>
      <c r="G111" s="617"/>
      <c r="H111" s="617"/>
      <c r="I111" s="616"/>
      <c r="J111" s="616"/>
      <c r="K111" s="615"/>
      <c r="L111" s="615"/>
      <c r="M111" s="615"/>
      <c r="N111" s="615"/>
      <c r="O111" s="615"/>
      <c r="P111" s="615"/>
    </row>
    <row r="112" spans="1:16" ht="12.75" hidden="1" x14ac:dyDescent="0.2">
      <c r="A112" s="620"/>
      <c r="B112" s="619"/>
      <c r="C112" s="619"/>
      <c r="D112" s="618"/>
      <c r="E112" s="618"/>
      <c r="F112" s="618"/>
      <c r="G112" s="617"/>
      <c r="H112" s="617"/>
      <c r="I112" s="616"/>
      <c r="J112" s="616"/>
      <c r="K112" s="615"/>
      <c r="L112" s="615"/>
      <c r="M112" s="615"/>
      <c r="N112" s="615"/>
      <c r="O112" s="615"/>
      <c r="P112" s="615"/>
    </row>
    <row r="113" spans="1:16" ht="12.75" hidden="1" x14ac:dyDescent="0.2">
      <c r="A113" s="620"/>
      <c r="B113" s="619"/>
      <c r="C113" s="619"/>
      <c r="D113" s="618"/>
      <c r="E113" s="618"/>
      <c r="F113" s="618"/>
      <c r="G113" s="617"/>
      <c r="H113" s="617"/>
      <c r="I113" s="616"/>
      <c r="J113" s="616"/>
      <c r="K113" s="615"/>
      <c r="L113" s="615"/>
      <c r="M113" s="615"/>
      <c r="N113" s="615"/>
      <c r="O113" s="615"/>
      <c r="P113" s="615"/>
    </row>
    <row r="114" spans="1:16" ht="12.75" hidden="1" x14ac:dyDescent="0.2">
      <c r="A114" s="620"/>
      <c r="B114" s="619"/>
      <c r="C114" s="619"/>
      <c r="D114" s="618"/>
      <c r="E114" s="618"/>
      <c r="F114" s="618"/>
      <c r="G114" s="617"/>
      <c r="H114" s="617"/>
      <c r="I114" s="616"/>
      <c r="J114" s="616"/>
      <c r="K114" s="615"/>
      <c r="L114" s="615"/>
      <c r="M114" s="615"/>
      <c r="N114" s="615"/>
      <c r="O114" s="615"/>
      <c r="P114" s="615"/>
    </row>
    <row r="115" spans="1:16" ht="12.75" hidden="1" x14ac:dyDescent="0.2">
      <c r="A115" s="620"/>
      <c r="B115" s="619"/>
      <c r="C115" s="619"/>
      <c r="D115" s="618"/>
      <c r="E115" s="618"/>
      <c r="F115" s="618"/>
      <c r="G115" s="617"/>
      <c r="H115" s="617"/>
      <c r="I115" s="616"/>
      <c r="J115" s="616"/>
      <c r="K115" s="615"/>
      <c r="L115" s="615"/>
      <c r="M115" s="615"/>
      <c r="N115" s="615"/>
      <c r="O115" s="615"/>
      <c r="P115" s="615"/>
    </row>
    <row r="116" spans="1:16" ht="12.75" hidden="1" x14ac:dyDescent="0.2">
      <c r="A116" s="620"/>
      <c r="B116" s="619"/>
      <c r="C116" s="619"/>
      <c r="D116" s="618"/>
      <c r="E116" s="618"/>
      <c r="F116" s="618"/>
      <c r="G116" s="617"/>
      <c r="H116" s="617"/>
      <c r="I116" s="616"/>
      <c r="J116" s="616"/>
      <c r="K116" s="615"/>
      <c r="L116" s="615"/>
      <c r="M116" s="615"/>
      <c r="N116" s="615"/>
      <c r="O116" s="615"/>
      <c r="P116" s="615"/>
    </row>
    <row r="117" spans="1:16" ht="18.75" hidden="1" x14ac:dyDescent="0.25">
      <c r="A117" s="532"/>
      <c r="B117" s="430"/>
      <c r="C117" s="430"/>
      <c r="D117" s="421" t="s">
        <v>48</v>
      </c>
      <c r="E117" s="420"/>
      <c r="F117" s="420"/>
      <c r="G117" s="527"/>
      <c r="H117" s="566" t="s">
        <v>33</v>
      </c>
      <c r="I117" s="622">
        <f ca="1">IFERROR(__xludf.DUMMYFUNCTION("IMPORTRANGE(""https://docs.google.com/spreadsheets/d/1eHaY18a8A9IcSdp1K8H6x8fbOy06t2VsZHhMHf-1x7Y/edit?usp=sharing"",""แผน!R30"")"),0)</f>
        <v>0</v>
      </c>
      <c r="J117" s="595">
        <v>0</v>
      </c>
      <c r="K117" s="425">
        <f ca="1">IF(I117&gt;0,J117*100/I117,0)</f>
        <v>0</v>
      </c>
      <c r="L117" s="428"/>
      <c r="M117" s="428"/>
      <c r="N117" s="428"/>
      <c r="O117" s="525"/>
      <c r="P117" s="525"/>
    </row>
    <row r="118" spans="1:16" ht="12.75" hidden="1" x14ac:dyDescent="0.2">
      <c r="A118" s="620"/>
      <c r="B118" s="619"/>
      <c r="C118" s="619"/>
      <c r="D118" s="619"/>
      <c r="E118" s="618"/>
      <c r="F118" s="618"/>
      <c r="G118" s="617"/>
      <c r="H118" s="617"/>
      <c r="I118" s="616"/>
      <c r="J118" s="616"/>
      <c r="K118" s="615"/>
      <c r="L118" s="615"/>
      <c r="M118" s="615"/>
      <c r="N118" s="615"/>
      <c r="O118" s="615"/>
      <c r="P118" s="615"/>
    </row>
    <row r="119" spans="1:16" ht="12.75" hidden="1" x14ac:dyDescent="0.2">
      <c r="A119" s="620"/>
      <c r="B119" s="619"/>
      <c r="C119" s="619"/>
      <c r="D119" s="619"/>
      <c r="E119" s="618"/>
      <c r="F119" s="618"/>
      <c r="G119" s="617"/>
      <c r="H119" s="617"/>
      <c r="I119" s="616"/>
      <c r="J119" s="616"/>
      <c r="K119" s="615"/>
      <c r="L119" s="615"/>
      <c r="M119" s="615"/>
      <c r="N119" s="615"/>
      <c r="O119" s="615"/>
      <c r="P119" s="615"/>
    </row>
    <row r="120" spans="1:16" ht="12.75" hidden="1" x14ac:dyDescent="0.2">
      <c r="A120" s="620"/>
      <c r="B120" s="619"/>
      <c r="C120" s="619"/>
      <c r="D120" s="619"/>
      <c r="E120" s="618"/>
      <c r="F120" s="618"/>
      <c r="G120" s="617"/>
      <c r="H120" s="617"/>
      <c r="I120" s="616"/>
      <c r="J120" s="616"/>
      <c r="K120" s="615"/>
      <c r="L120" s="615"/>
      <c r="M120" s="615"/>
      <c r="N120" s="615"/>
      <c r="O120" s="615"/>
      <c r="P120" s="615"/>
    </row>
    <row r="121" spans="1:16" ht="12.75" hidden="1" x14ac:dyDescent="0.2">
      <c r="A121" s="620"/>
      <c r="B121" s="619"/>
      <c r="C121" s="619"/>
      <c r="D121" s="619"/>
      <c r="E121" s="618"/>
      <c r="F121" s="618"/>
      <c r="G121" s="617"/>
      <c r="H121" s="617"/>
      <c r="I121" s="616"/>
      <c r="J121" s="616"/>
      <c r="K121" s="615"/>
      <c r="L121" s="615"/>
      <c r="M121" s="615"/>
      <c r="N121" s="615"/>
      <c r="O121" s="615"/>
      <c r="P121" s="615"/>
    </row>
    <row r="122" spans="1:16" ht="12.75" hidden="1" x14ac:dyDescent="0.2">
      <c r="A122" s="620"/>
      <c r="B122" s="619"/>
      <c r="C122" s="619"/>
      <c r="D122" s="619"/>
      <c r="E122" s="618"/>
      <c r="F122" s="618"/>
      <c r="G122" s="617"/>
      <c r="H122" s="617"/>
      <c r="I122" s="616"/>
      <c r="J122" s="616"/>
      <c r="K122" s="615"/>
      <c r="L122" s="615"/>
      <c r="M122" s="615"/>
      <c r="N122" s="615"/>
      <c r="O122" s="615"/>
      <c r="P122" s="615"/>
    </row>
    <row r="123" spans="1:16" ht="19.5" hidden="1" x14ac:dyDescent="0.3">
      <c r="A123" s="737" t="s">
        <v>49</v>
      </c>
      <c r="B123" s="618"/>
      <c r="C123" s="734"/>
      <c r="D123" s="618"/>
      <c r="E123" s="618"/>
      <c r="F123" s="618"/>
      <c r="G123" s="618"/>
      <c r="H123" s="618"/>
      <c r="I123" s="736"/>
      <c r="J123" s="736"/>
      <c r="K123" s="735"/>
      <c r="L123" s="615"/>
      <c r="M123" s="615"/>
      <c r="N123" s="615"/>
      <c r="O123" s="615"/>
      <c r="P123" s="615"/>
    </row>
    <row r="124" spans="1:16" ht="19.5" hidden="1" x14ac:dyDescent="0.3">
      <c r="A124" s="726"/>
      <c r="B124" s="732" t="s">
        <v>50</v>
      </c>
      <c r="C124" s="734"/>
      <c r="D124" s="619"/>
      <c r="E124" s="618"/>
      <c r="F124" s="618"/>
      <c r="G124" s="617"/>
      <c r="H124" s="617"/>
      <c r="I124" s="733">
        <v>0</v>
      </c>
      <c r="J124" s="733">
        <v>0</v>
      </c>
      <c r="K124" s="723">
        <v>0</v>
      </c>
      <c r="L124" s="615"/>
      <c r="M124" s="615"/>
      <c r="N124" s="615"/>
      <c r="O124" s="615"/>
      <c r="P124" s="615"/>
    </row>
    <row r="125" spans="1:16" ht="19.5" hidden="1" x14ac:dyDescent="0.3">
      <c r="A125" s="726"/>
      <c r="B125" s="618"/>
      <c r="C125" s="732" t="s">
        <v>16</v>
      </c>
      <c r="D125" s="731" t="s">
        <v>17</v>
      </c>
      <c r="E125" s="618"/>
      <c r="F125" s="618"/>
      <c r="G125" s="617"/>
      <c r="H125" s="730" t="s">
        <v>12</v>
      </c>
      <c r="I125" s="616"/>
      <c r="J125" s="616"/>
      <c r="K125" s="615"/>
      <c r="L125" s="729">
        <f ca="1">L126+L127</f>
        <v>0</v>
      </c>
      <c r="M125" s="729">
        <f ca="1">M126+M127</f>
        <v>0</v>
      </c>
      <c r="N125" s="729">
        <f ca="1">N126+N127</f>
        <v>0</v>
      </c>
      <c r="O125" s="729">
        <f ca="1">IF(L125&gt;0,N125*100/L125,0)</f>
        <v>0</v>
      </c>
      <c r="P125" s="729">
        <f ca="1">IF(M125&gt;0,N125*100/M125,0)</f>
        <v>0</v>
      </c>
    </row>
    <row r="126" spans="1:16" ht="18.75" hidden="1" x14ac:dyDescent="0.25">
      <c r="A126" s="726"/>
      <c r="B126" s="618"/>
      <c r="C126" s="618"/>
      <c r="D126" s="618"/>
      <c r="E126" s="186" t="s">
        <v>18</v>
      </c>
      <c r="F126" s="618"/>
      <c r="G126" s="617"/>
      <c r="H126" s="215" t="s">
        <v>12</v>
      </c>
      <c r="I126" s="616"/>
      <c r="J126" s="616"/>
      <c r="K126" s="615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26"/>
      <c r="B127" s="618"/>
      <c r="C127" s="618"/>
      <c r="D127" s="618"/>
      <c r="E127" s="725" t="s">
        <v>19</v>
      </c>
      <c r="F127" s="618"/>
      <c r="G127" s="617"/>
      <c r="H127" s="724" t="s">
        <v>12</v>
      </c>
      <c r="I127" s="616"/>
      <c r="J127" s="616"/>
      <c r="K127" s="615"/>
      <c r="L127" s="723">
        <f ca="1">L130+L133</f>
        <v>0</v>
      </c>
      <c r="M127" s="723">
        <f ca="1">M130+M133</f>
        <v>0</v>
      </c>
      <c r="N127" s="723">
        <f ca="1">N130+N133</f>
        <v>0</v>
      </c>
      <c r="O127" s="723">
        <f ca="1">IF(L127&gt;0,N127*100/L127,0)</f>
        <v>0</v>
      </c>
      <c r="P127" s="723">
        <f ca="1">IF(M127&gt;0,N127*100/M127,0)</f>
        <v>0</v>
      </c>
    </row>
    <row r="128" spans="1:16" ht="18.75" hidden="1" x14ac:dyDescent="0.25">
      <c r="A128" s="726"/>
      <c r="B128" s="618"/>
      <c r="C128" s="618"/>
      <c r="D128" s="727" t="s">
        <v>20</v>
      </c>
      <c r="E128" s="618"/>
      <c r="F128" s="618"/>
      <c r="G128" s="617"/>
      <c r="H128" s="728" t="s">
        <v>12</v>
      </c>
      <c r="I128" s="616"/>
      <c r="J128" s="616"/>
      <c r="K128" s="615"/>
      <c r="L128" s="723">
        <f ca="1">L129+L130</f>
        <v>0</v>
      </c>
      <c r="M128" s="723">
        <f ca="1">M129+M130</f>
        <v>0</v>
      </c>
      <c r="N128" s="723">
        <f ca="1">N129+N130</f>
        <v>0</v>
      </c>
      <c r="O128" s="723">
        <f ca="1">IF(L128&gt;0,N128*100/L128,0)</f>
        <v>0</v>
      </c>
      <c r="P128" s="723">
        <f ca="1">IF(M128&gt;0,N128*100/M128,0)</f>
        <v>0</v>
      </c>
    </row>
    <row r="129" spans="1:16" ht="18.75" hidden="1" x14ac:dyDescent="0.25">
      <c r="A129" s="726"/>
      <c r="B129" s="618"/>
      <c r="C129" s="618"/>
      <c r="D129" s="618"/>
      <c r="E129" s="186" t="s">
        <v>34</v>
      </c>
      <c r="F129" s="618"/>
      <c r="G129" s="617"/>
      <c r="H129" s="218" t="s">
        <v>12</v>
      </c>
      <c r="I129" s="616"/>
      <c r="J129" s="616"/>
      <c r="K129" s="615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26"/>
      <c r="B130" s="618"/>
      <c r="C130" s="618"/>
      <c r="D130" s="618"/>
      <c r="E130" s="725" t="s">
        <v>35</v>
      </c>
      <c r="F130" s="618"/>
      <c r="G130" s="617"/>
      <c r="H130" s="728" t="s">
        <v>12</v>
      </c>
      <c r="I130" s="616"/>
      <c r="J130" s="616"/>
      <c r="K130" s="615"/>
      <c r="L130" s="723">
        <f ca="1">IFERROR(__xludf.DUMMYFUNCTION("IMPORTRANGE(""https://docs.google.com/spreadsheets/d/1-uDff_7J0KD5mKrp0Vvzr7lt3OU09vwQwhkpOPPYv2Y/edit?usp=sharing"",""งบพรบ!BG30"")"),0)</f>
        <v>0</v>
      </c>
      <c r="M130" s="723">
        <f ca="1">IFERROR(__xludf.DUMMYFUNCTION("IMPORTRANGE(""https://docs.google.com/spreadsheets/d/1-uDff_7J0KD5mKrp0Vvzr7lt3OU09vwQwhkpOPPYv2Y/edit?usp=sharing"",""งบพรบ!BL30"")"),0)</f>
        <v>0</v>
      </c>
      <c r="N130" s="723">
        <f ca="1">IFERROR(__xludf.DUMMYFUNCTION("IMPORTRANGE(""https://docs.google.com/spreadsheets/d/1-uDff_7J0KD5mKrp0Vvzr7lt3OU09vwQwhkpOPPYv2Y/edit?usp=sharing"",""งบพรบ!BN30"")"),0)</f>
        <v>0</v>
      </c>
      <c r="O130" s="723">
        <f ca="1">IF(L130&gt;0,N130*100/L130,0)</f>
        <v>0</v>
      </c>
      <c r="P130" s="723">
        <f ca="1">IF(M130&gt;0,N130*100/M130,0)</f>
        <v>0</v>
      </c>
    </row>
    <row r="131" spans="1:16" ht="18.75" hidden="1" x14ac:dyDescent="0.25">
      <c r="A131" s="726"/>
      <c r="B131" s="618"/>
      <c r="C131" s="618"/>
      <c r="D131" s="727" t="s">
        <v>21</v>
      </c>
      <c r="E131" s="618"/>
      <c r="F131" s="618"/>
      <c r="G131" s="617"/>
      <c r="H131" s="724" t="s">
        <v>12</v>
      </c>
      <c r="I131" s="616"/>
      <c r="J131" s="616"/>
      <c r="K131" s="615"/>
      <c r="L131" s="723">
        <f ca="1">L132+L133</f>
        <v>0</v>
      </c>
      <c r="M131" s="723">
        <f ca="1">M132+M133</f>
        <v>0</v>
      </c>
      <c r="N131" s="723">
        <f ca="1">N132+N133</f>
        <v>0</v>
      </c>
      <c r="O131" s="723">
        <f ca="1">IF(L131&gt;0,N131*100/L131,0)</f>
        <v>0</v>
      </c>
      <c r="P131" s="723">
        <f ca="1">IF(M131&gt;0,N131*100/M131,0)</f>
        <v>0</v>
      </c>
    </row>
    <row r="132" spans="1:16" ht="18.75" hidden="1" x14ac:dyDescent="0.25">
      <c r="A132" s="726"/>
      <c r="B132" s="618"/>
      <c r="C132" s="618"/>
      <c r="D132" s="618"/>
      <c r="E132" s="186" t="s">
        <v>18</v>
      </c>
      <c r="F132" s="618"/>
      <c r="G132" s="617"/>
      <c r="H132" s="218" t="s">
        <v>12</v>
      </c>
      <c r="I132" s="616"/>
      <c r="J132" s="616"/>
      <c r="K132" s="615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26"/>
      <c r="B133" s="618"/>
      <c r="C133" s="618"/>
      <c r="D133" s="618"/>
      <c r="E133" s="725" t="s">
        <v>19</v>
      </c>
      <c r="F133" s="618"/>
      <c r="G133" s="617"/>
      <c r="H133" s="724" t="s">
        <v>12</v>
      </c>
      <c r="I133" s="616"/>
      <c r="J133" s="616"/>
      <c r="K133" s="615"/>
      <c r="L133" s="723">
        <f ca="1">IFERROR(__xludf.DUMMYFUNCTION("IMPORTRANGE(""https://docs.google.com/spreadsheets/d/1-uDff_7J0KD5mKrp0Vvzr7lt3OU09vwQwhkpOPPYv2Y/edit?usp=sharing"",""งบพรบ!BJ30"")"),0)</f>
        <v>0</v>
      </c>
      <c r="M133" s="723">
        <f ca="1">IFERROR(__xludf.DUMMYFUNCTION("IMPORTRANGE(""https://docs.google.com/spreadsheets/d/1-uDff_7J0KD5mKrp0Vvzr7lt3OU09vwQwhkpOPPYv2Y/edit?usp=sharing"",""งบพรบ!BM30"")"),0)</f>
        <v>0</v>
      </c>
      <c r="N133" s="723">
        <f ca="1">IFERROR(__xludf.DUMMYFUNCTION("IMPORTRANGE(""https://docs.google.com/spreadsheets/d/1-uDff_7J0KD5mKrp0Vvzr7lt3OU09vwQwhkpOPPYv2Y/edit?usp=sharing"",""งบพรบ!BO30"")"),0)</f>
        <v>0</v>
      </c>
      <c r="O133" s="723">
        <f ca="1">IF(L133&gt;0,N133*100/L133,0)</f>
        <v>0</v>
      </c>
      <c r="P133" s="723">
        <f ca="1">IF(M133&gt;0,N133*100/M133,0)</f>
        <v>0</v>
      </c>
    </row>
    <row r="134" spans="1:16" ht="19.5" x14ac:dyDescent="0.3">
      <c r="A134" s="716" t="s">
        <v>51</v>
      </c>
      <c r="B134" s="714"/>
      <c r="C134" s="715"/>
      <c r="D134" s="714"/>
      <c r="E134" s="714"/>
      <c r="F134" s="714"/>
      <c r="G134" s="714"/>
      <c r="H134" s="714"/>
      <c r="I134" s="713"/>
      <c r="J134" s="713"/>
      <c r="K134" s="712"/>
      <c r="L134" s="711"/>
      <c r="M134" s="711"/>
      <c r="N134" s="711"/>
      <c r="O134" s="711"/>
      <c r="P134" s="711"/>
    </row>
    <row r="135" spans="1:16" ht="19.5" x14ac:dyDescent="0.3">
      <c r="A135" s="710"/>
      <c r="B135" s="709" t="s">
        <v>52</v>
      </c>
      <c r="C135" s="719"/>
      <c r="D135" s="718"/>
      <c r="E135" s="708"/>
      <c r="F135" s="708"/>
      <c r="G135" s="708"/>
      <c r="H135" s="708"/>
      <c r="I135" s="722"/>
      <c r="J135" s="721"/>
      <c r="K135" s="703"/>
      <c r="L135" s="703"/>
      <c r="M135" s="703"/>
      <c r="N135" s="703"/>
      <c r="O135" s="703"/>
      <c r="P135" s="703"/>
    </row>
    <row r="136" spans="1:16" ht="19.5" x14ac:dyDescent="0.3">
      <c r="A136" s="710"/>
      <c r="B136" s="708"/>
      <c r="C136" s="720" t="s">
        <v>53</v>
      </c>
      <c r="D136" s="718"/>
      <c r="E136" s="708"/>
      <c r="F136" s="708"/>
      <c r="G136" s="707"/>
      <c r="H136" s="717" t="s">
        <v>54</v>
      </c>
      <c r="I136" s="705">
        <f ca="1">I154</f>
        <v>2</v>
      </c>
      <c r="J136" s="705">
        <f>J154</f>
        <v>0</v>
      </c>
      <c r="K136" s="704">
        <f ca="1">IF(I136&gt;0,J136*100/I136,0)</f>
        <v>0</v>
      </c>
      <c r="L136" s="703"/>
      <c r="M136" s="703"/>
      <c r="N136" s="703"/>
      <c r="O136" s="703"/>
      <c r="P136" s="703"/>
    </row>
    <row r="137" spans="1:16" ht="19.5" x14ac:dyDescent="0.3">
      <c r="A137" s="710"/>
      <c r="B137" s="708"/>
      <c r="C137" s="720" t="s">
        <v>55</v>
      </c>
      <c r="D137" s="718"/>
      <c r="E137" s="708"/>
      <c r="F137" s="708"/>
      <c r="G137" s="707"/>
      <c r="H137" s="717" t="s">
        <v>33</v>
      </c>
      <c r="I137" s="705">
        <f ca="1">I152</f>
        <v>40</v>
      </c>
      <c r="J137" s="705">
        <f>J152</f>
        <v>0</v>
      </c>
      <c r="K137" s="704">
        <f ca="1">IF(I137&gt;0,J137*100/I137,0)</f>
        <v>0</v>
      </c>
      <c r="L137" s="703"/>
      <c r="M137" s="703"/>
      <c r="N137" s="703"/>
      <c r="O137" s="703"/>
      <c r="P137" s="703"/>
    </row>
    <row r="138" spans="1:16" ht="19.5" x14ac:dyDescent="0.3">
      <c r="A138" s="710"/>
      <c r="B138" s="708"/>
      <c r="C138" s="719"/>
      <c r="D138" s="718"/>
      <c r="E138" s="708"/>
      <c r="F138" s="708"/>
      <c r="G138" s="707"/>
      <c r="H138" s="717" t="s">
        <v>56</v>
      </c>
      <c r="I138" s="705">
        <f ca="1">I153</f>
        <v>4</v>
      </c>
      <c r="J138" s="705">
        <f>J153</f>
        <v>0</v>
      </c>
      <c r="K138" s="704">
        <f ca="1">IF(I138&gt;0,J138*100/I138,0)</f>
        <v>0</v>
      </c>
      <c r="L138" s="703"/>
      <c r="M138" s="703"/>
      <c r="N138" s="703"/>
      <c r="O138" s="703"/>
      <c r="P138" s="703"/>
    </row>
    <row r="139" spans="1:16" ht="19.5" x14ac:dyDescent="0.3">
      <c r="A139" s="535"/>
      <c r="B139" s="418"/>
      <c r="C139" s="570" t="s">
        <v>16</v>
      </c>
      <c r="D139" s="579" t="s">
        <v>17</v>
      </c>
      <c r="E139" s="418"/>
      <c r="F139" s="418"/>
      <c r="G139" s="422"/>
      <c r="H139" s="578" t="s">
        <v>12</v>
      </c>
      <c r="I139" s="427"/>
      <c r="J139" s="427"/>
      <c r="K139" s="428"/>
      <c r="L139" s="577">
        <f ca="1">L140+L141</f>
        <v>153900</v>
      </c>
      <c r="M139" s="577">
        <f ca="1">M140+M141</f>
        <v>126300</v>
      </c>
      <c r="N139" s="577">
        <f ca="1">N140+N141</f>
        <v>23813.5</v>
      </c>
      <c r="O139" s="577">
        <f ca="1">IF(L139&gt;0,N139*100/L139,0)</f>
        <v>15.473359324236517</v>
      </c>
      <c r="P139" s="577">
        <f ca="1">IF(M139&gt;0,N139*100/M139,0)</f>
        <v>18.854711005542359</v>
      </c>
    </row>
    <row r="140" spans="1:16" ht="18.75" hidden="1" x14ac:dyDescent="0.25">
      <c r="A140" s="535"/>
      <c r="B140" s="418"/>
      <c r="C140" s="418"/>
      <c r="D140" s="418"/>
      <c r="E140" s="534" t="s">
        <v>18</v>
      </c>
      <c r="F140" s="418"/>
      <c r="G140" s="422"/>
      <c r="H140" s="538" t="s">
        <v>12</v>
      </c>
      <c r="I140" s="427"/>
      <c r="J140" s="427"/>
      <c r="K140" s="428"/>
      <c r="L140" s="521">
        <f>L143+L146</f>
        <v>0</v>
      </c>
      <c r="M140" s="521">
        <f>M143+M146</f>
        <v>0</v>
      </c>
      <c r="N140" s="521">
        <f>N143+N146</f>
        <v>0</v>
      </c>
      <c r="O140" s="521">
        <f>IF(L140&gt;0,N140*100/L140,0)</f>
        <v>0</v>
      </c>
      <c r="P140" s="521">
        <f>IF(M140&gt;0,N140*100/M140,0)</f>
        <v>0</v>
      </c>
    </row>
    <row r="141" spans="1:16" ht="18.75" x14ac:dyDescent="0.25">
      <c r="A141" s="535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153900</v>
      </c>
      <c r="M141" s="425">
        <f ca="1">M144+M147</f>
        <v>126300</v>
      </c>
      <c r="N141" s="425">
        <f ca="1">N144+N147</f>
        <v>23813.5</v>
      </c>
      <c r="O141" s="425">
        <f ca="1">IF(L141&gt;0,N141*100/L141,0)</f>
        <v>15.473359324236517</v>
      </c>
      <c r="P141" s="425">
        <f ca="1">IF(M141&gt;0,N141*100/M141,0)</f>
        <v>18.854711005542359</v>
      </c>
    </row>
    <row r="142" spans="1:16" ht="18.75" x14ac:dyDescent="0.25">
      <c r="A142" s="535"/>
      <c r="B142" s="418"/>
      <c r="C142" s="418"/>
      <c r="D142" s="575" t="s">
        <v>20</v>
      </c>
      <c r="E142" s="418"/>
      <c r="F142" s="418"/>
      <c r="G142" s="422"/>
      <c r="H142" s="576" t="s">
        <v>12</v>
      </c>
      <c r="I142" s="526"/>
      <c r="J142" s="526"/>
      <c r="K142" s="525"/>
      <c r="L142" s="425">
        <f ca="1">L143+L144</f>
        <v>153900</v>
      </c>
      <c r="M142" s="425">
        <f ca="1">M143+M144</f>
        <v>126300</v>
      </c>
      <c r="N142" s="425">
        <f ca="1">N143+N144</f>
        <v>23813.5</v>
      </c>
      <c r="O142" s="425">
        <f ca="1">IF(L142&gt;0,N142*100/L142,0)</f>
        <v>15.473359324236517</v>
      </c>
      <c r="P142" s="425">
        <f ca="1">IF(M142&gt;0,N142*100/M142,0)</f>
        <v>18.854711005542359</v>
      </c>
    </row>
    <row r="143" spans="1:16" ht="18.75" hidden="1" x14ac:dyDescent="0.25">
      <c r="A143" s="535"/>
      <c r="B143" s="418"/>
      <c r="C143" s="418"/>
      <c r="D143" s="418"/>
      <c r="E143" s="534" t="s">
        <v>34</v>
      </c>
      <c r="F143" s="418"/>
      <c r="G143" s="422"/>
      <c r="H143" s="536" t="s">
        <v>12</v>
      </c>
      <c r="I143" s="526"/>
      <c r="J143" s="526"/>
      <c r="K143" s="525"/>
      <c r="L143" s="521">
        <v>0</v>
      </c>
      <c r="M143" s="521">
        <v>0</v>
      </c>
      <c r="N143" s="521">
        <v>0</v>
      </c>
      <c r="O143" s="521">
        <f>IF(L143&gt;0,N143*100/L143,0)</f>
        <v>0</v>
      </c>
      <c r="P143" s="521">
        <f>IF(M143&gt;0,N143*100/M143,0)</f>
        <v>0</v>
      </c>
    </row>
    <row r="144" spans="1:16" ht="18.75" x14ac:dyDescent="0.25">
      <c r="A144" s="535"/>
      <c r="B144" s="418"/>
      <c r="C144" s="418"/>
      <c r="D144" s="418"/>
      <c r="E144" s="293" t="s">
        <v>35</v>
      </c>
      <c r="F144" s="418"/>
      <c r="G144" s="422"/>
      <c r="H144" s="576" t="s">
        <v>12</v>
      </c>
      <c r="I144" s="526"/>
      <c r="J144" s="526"/>
      <c r="K144" s="525"/>
      <c r="L144" s="425">
        <f ca="1">IFERROR(__xludf.DUMMYFUNCTION("IMPORTRANGE(""https://docs.google.com/spreadsheets/d/1-uDff_7J0KD5mKrp0Vvzr7lt3OU09vwQwhkpOPPYv2Y/edit?usp=sharing"",""งบพรบ!BQ30"")"),153900)</f>
        <v>153900</v>
      </c>
      <c r="M144" s="425">
        <f ca="1">IFERROR(__xludf.DUMMYFUNCTION("IMPORTRANGE(""https://docs.google.com/spreadsheets/d/1-uDff_7J0KD5mKrp0Vvzr7lt3OU09vwQwhkpOPPYv2Y/edit?usp=sharing"",""งบพรบ!BV30"")"),126300)</f>
        <v>126300</v>
      </c>
      <c r="N144" s="425">
        <f ca="1">IFERROR(__xludf.DUMMYFUNCTION("IMPORTRANGE(""https://docs.google.com/spreadsheets/d/1-uDff_7J0KD5mKrp0Vvzr7lt3OU09vwQwhkpOPPYv2Y/edit?usp=sharing"",""งบพรบ!BX30"")"),23813.5)</f>
        <v>23813.5</v>
      </c>
      <c r="O144" s="425">
        <f ca="1">IF(L144&gt;0,N144*100/L144,0)</f>
        <v>15.473359324236517</v>
      </c>
      <c r="P144" s="425">
        <f ca="1">IF(M144&gt;0,N144*100/M144,0)</f>
        <v>18.854711005542359</v>
      </c>
    </row>
    <row r="145" spans="1:16" ht="18.75" x14ac:dyDescent="0.25">
      <c r="A145" s="535"/>
      <c r="B145" s="418"/>
      <c r="C145" s="418"/>
      <c r="D145" s="575" t="s">
        <v>21</v>
      </c>
      <c r="E145" s="418"/>
      <c r="F145" s="418"/>
      <c r="G145" s="422"/>
      <c r="H145" s="574" t="s">
        <v>12</v>
      </c>
      <c r="I145" s="526"/>
      <c r="J145" s="526"/>
      <c r="K145" s="525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35"/>
      <c r="B146" s="418"/>
      <c r="C146" s="418"/>
      <c r="D146" s="418"/>
      <c r="E146" s="534" t="s">
        <v>18</v>
      </c>
      <c r="F146" s="418"/>
      <c r="G146" s="422"/>
      <c r="H146" s="536" t="s">
        <v>12</v>
      </c>
      <c r="I146" s="526"/>
      <c r="J146" s="526"/>
      <c r="K146" s="525"/>
      <c r="L146" s="521">
        <v>0</v>
      </c>
      <c r="M146" s="521">
        <v>0</v>
      </c>
      <c r="N146" s="521">
        <v>0</v>
      </c>
      <c r="O146" s="521">
        <f>IF(L146&gt;0,N146*100/L146,0)</f>
        <v>0</v>
      </c>
      <c r="P146" s="521">
        <f>IF(M146&gt;0,N146*100/M146,0)</f>
        <v>0</v>
      </c>
    </row>
    <row r="147" spans="1:16" ht="18.75" x14ac:dyDescent="0.25">
      <c r="A147" s="535"/>
      <c r="B147" s="418"/>
      <c r="C147" s="418"/>
      <c r="D147" s="418"/>
      <c r="E147" s="293" t="s">
        <v>19</v>
      </c>
      <c r="F147" s="418"/>
      <c r="G147" s="422"/>
      <c r="H147" s="574" t="s">
        <v>12</v>
      </c>
      <c r="I147" s="526"/>
      <c r="J147" s="526"/>
      <c r="K147" s="525"/>
      <c r="L147" s="425">
        <f ca="1">IFERROR(__xludf.DUMMYFUNCTION("IMPORTRANGE(""https://docs.google.com/spreadsheets/d/1-uDff_7J0KD5mKrp0Vvzr7lt3OU09vwQwhkpOPPYv2Y/edit?usp=sharing"",""งบพรบ!BT30"")"),0)</f>
        <v>0</v>
      </c>
      <c r="M147" s="425">
        <f ca="1">IFERROR(__xludf.DUMMYFUNCTION("IMPORTRANGE(""https://docs.google.com/spreadsheets/d/1-uDff_7J0KD5mKrp0Vvzr7lt3OU09vwQwhkpOPPYv2Y/edit?usp=sharing"",""งบพรบ!BW30"")"),0)</f>
        <v>0</v>
      </c>
      <c r="N147" s="425">
        <f ca="1">IFERROR(__xludf.DUMMYFUNCTION("IMPORTRANGE(""https://docs.google.com/spreadsheets/d/1-uDff_7J0KD5mKrp0Vvzr7lt3OU09vwQwhkpOPPYv2Y/edit?usp=sharing"",""งบพรบ!BY30"")"),0)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2"/>
      <c r="B148" s="430"/>
      <c r="C148" s="570" t="s">
        <v>16</v>
      </c>
      <c r="D148" s="569" t="s">
        <v>36</v>
      </c>
      <c r="E148" s="529"/>
      <c r="F148" s="529"/>
      <c r="G148" s="528"/>
      <c r="H148" s="692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35"/>
      <c r="B149" s="418"/>
      <c r="C149" s="418"/>
      <c r="D149" s="293" t="s">
        <v>57</v>
      </c>
      <c r="E149" s="418"/>
      <c r="F149" s="418"/>
      <c r="G149" s="422"/>
      <c r="H149" s="692"/>
      <c r="I149" s="427"/>
      <c r="J149" s="595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35"/>
      <c r="B150" s="418"/>
      <c r="C150" s="418"/>
      <c r="D150" s="420"/>
      <c r="E150" s="570" t="s">
        <v>158</v>
      </c>
      <c r="F150" s="418"/>
      <c r="G150" s="422"/>
      <c r="H150" s="574" t="s">
        <v>33</v>
      </c>
      <c r="I150" s="424">
        <f ca="1">IFERROR(__xludf.DUMMYFUNCTION("IMPORTRANGE(""https://docs.google.com/spreadsheets/d/1eHaY18a8A9IcSdp1K8H6x8fbOy06t2VsZHhMHf-1x7Y/edit?usp=sharing"",""แผน!U30"")"),20)</f>
        <v>20</v>
      </c>
      <c r="J150" s="595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35"/>
      <c r="B151" s="418"/>
      <c r="C151" s="418"/>
      <c r="D151" s="420"/>
      <c r="E151" s="418"/>
      <c r="F151" s="418"/>
      <c r="G151" s="422"/>
      <c r="H151" s="574" t="s">
        <v>56</v>
      </c>
      <c r="I151" s="424">
        <f ca="1">IFERROR(__xludf.DUMMYFUNCTION("IMPORTRANGE(""https://docs.google.com/spreadsheets/d/1eHaY18a8A9IcSdp1K8H6x8fbOy06t2VsZHhMHf-1x7Y/edit?usp=sharing"",""แผน!V30"")"),2)</f>
        <v>2</v>
      </c>
      <c r="J151" s="595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35"/>
      <c r="B152" s="418"/>
      <c r="C152" s="418"/>
      <c r="D152" s="420"/>
      <c r="E152" s="570" t="s">
        <v>157</v>
      </c>
      <c r="F152" s="418"/>
      <c r="G152" s="422"/>
      <c r="H152" s="574" t="s">
        <v>33</v>
      </c>
      <c r="I152" s="424">
        <f ca="1">IFERROR(__xludf.DUMMYFUNCTION("IMPORTRANGE(""https://docs.google.com/spreadsheets/d/1eHaY18a8A9IcSdp1K8H6x8fbOy06t2VsZHhMHf-1x7Y/edit?usp=sharing"",""แผน!W30"")"),40)</f>
        <v>40</v>
      </c>
      <c r="J152" s="595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35"/>
      <c r="B153" s="418"/>
      <c r="C153" s="418"/>
      <c r="D153" s="418"/>
      <c r="E153" s="418"/>
      <c r="F153" s="418"/>
      <c r="G153" s="422"/>
      <c r="H153" s="574" t="s">
        <v>56</v>
      </c>
      <c r="I153" s="424">
        <f ca="1">IFERROR(__xludf.DUMMYFUNCTION("IMPORTRANGE(""https://docs.google.com/spreadsheets/d/1eHaY18a8A9IcSdp1K8H6x8fbOy06t2VsZHhMHf-1x7Y/edit?usp=sharing"",""แผน!X30"")"),4)</f>
        <v>4</v>
      </c>
      <c r="J153" s="595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35"/>
      <c r="B154" s="418"/>
      <c r="C154" s="418"/>
      <c r="D154" s="293" t="s">
        <v>60</v>
      </c>
      <c r="E154" s="418"/>
      <c r="F154" s="418"/>
      <c r="G154" s="422"/>
      <c r="H154" s="574" t="s">
        <v>54</v>
      </c>
      <c r="I154" s="424">
        <f ca="1">IFERROR(__xludf.DUMMYFUNCTION("IMPORTRANGE(""https://docs.google.com/spreadsheets/d/1eHaY18a8A9IcSdp1K8H6x8fbOy06t2VsZHhMHf-1x7Y/edit?usp=sharing"",""แผน!Y30"")"),2)</f>
        <v>2</v>
      </c>
      <c r="J154" s="595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16" t="s">
        <v>61</v>
      </c>
      <c r="B155" s="714"/>
      <c r="C155" s="715"/>
      <c r="D155" s="714"/>
      <c r="E155" s="714"/>
      <c r="F155" s="714"/>
      <c r="G155" s="714"/>
      <c r="H155" s="714"/>
      <c r="I155" s="713"/>
      <c r="J155" s="713"/>
      <c r="K155" s="712"/>
      <c r="L155" s="711"/>
      <c r="M155" s="711"/>
      <c r="N155" s="711"/>
      <c r="O155" s="711"/>
      <c r="P155" s="711"/>
    </row>
    <row r="156" spans="1:16" ht="19.5" x14ac:dyDescent="0.3">
      <c r="A156" s="710"/>
      <c r="B156" s="709" t="s">
        <v>62</v>
      </c>
      <c r="C156" s="708"/>
      <c r="D156" s="708"/>
      <c r="E156" s="708"/>
      <c r="F156" s="708"/>
      <c r="G156" s="707"/>
      <c r="H156" s="706" t="s">
        <v>33</v>
      </c>
      <c r="I156" s="705">
        <f ca="1">I167</f>
        <v>10</v>
      </c>
      <c r="J156" s="705">
        <f>J167</f>
        <v>0</v>
      </c>
      <c r="K156" s="704">
        <f ca="1">IF(I156&gt;0,J156*100/I156,0)</f>
        <v>0</v>
      </c>
      <c r="L156" s="703"/>
      <c r="M156" s="703"/>
      <c r="N156" s="703"/>
      <c r="O156" s="703"/>
      <c r="P156" s="703"/>
    </row>
    <row r="157" spans="1:16" ht="19.5" x14ac:dyDescent="0.3">
      <c r="A157" s="535"/>
      <c r="B157" s="418"/>
      <c r="C157" s="570" t="s">
        <v>16</v>
      </c>
      <c r="D157" s="579" t="s">
        <v>17</v>
      </c>
      <c r="E157" s="418"/>
      <c r="F157" s="418"/>
      <c r="G157" s="422"/>
      <c r="H157" s="578" t="s">
        <v>12</v>
      </c>
      <c r="I157" s="427"/>
      <c r="J157" s="427"/>
      <c r="K157" s="428"/>
      <c r="L157" s="577">
        <f ca="1">L158+L159</f>
        <v>3000</v>
      </c>
      <c r="M157" s="577">
        <f ca="1">M158+M159</f>
        <v>0</v>
      </c>
      <c r="N157" s="577">
        <f ca="1">N158+N159</f>
        <v>0</v>
      </c>
      <c r="O157" s="577">
        <f ca="1">IF(L157&gt;0,N157*100/L157,0)</f>
        <v>0</v>
      </c>
      <c r="P157" s="577">
        <f ca="1">IF(M157&gt;0,N157*100/M157,0)</f>
        <v>0</v>
      </c>
    </row>
    <row r="158" spans="1:16" ht="18.75" hidden="1" x14ac:dyDescent="0.25">
      <c r="A158" s="535"/>
      <c r="B158" s="418"/>
      <c r="C158" s="418"/>
      <c r="D158" s="418"/>
      <c r="E158" s="534" t="s">
        <v>18</v>
      </c>
      <c r="F158" s="418"/>
      <c r="G158" s="422"/>
      <c r="H158" s="538" t="s">
        <v>12</v>
      </c>
      <c r="I158" s="427"/>
      <c r="J158" s="427"/>
      <c r="K158" s="428"/>
      <c r="L158" s="521">
        <f>L161+L164</f>
        <v>0</v>
      </c>
      <c r="M158" s="521">
        <f>M161+M164</f>
        <v>0</v>
      </c>
      <c r="N158" s="521">
        <f>N161+N164</f>
        <v>0</v>
      </c>
      <c r="O158" s="521">
        <f>IF(L158&gt;0,N158*100/L158,0)</f>
        <v>0</v>
      </c>
      <c r="P158" s="521">
        <f>IF(M158&gt;0,N158*100/M158,0)</f>
        <v>0</v>
      </c>
    </row>
    <row r="159" spans="1:16" ht="18.75" x14ac:dyDescent="0.25">
      <c r="A159" s="535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35"/>
      <c r="B160" s="418"/>
      <c r="C160" s="418"/>
      <c r="D160" s="575" t="s">
        <v>20</v>
      </c>
      <c r="E160" s="418"/>
      <c r="F160" s="418"/>
      <c r="G160" s="422"/>
      <c r="H160" s="576" t="s">
        <v>12</v>
      </c>
      <c r="I160" s="526"/>
      <c r="J160" s="526"/>
      <c r="K160" s="525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35"/>
      <c r="B161" s="418"/>
      <c r="C161" s="418"/>
      <c r="D161" s="418"/>
      <c r="E161" s="534" t="s">
        <v>34</v>
      </c>
      <c r="F161" s="418"/>
      <c r="G161" s="422"/>
      <c r="H161" s="536" t="s">
        <v>12</v>
      </c>
      <c r="I161" s="526"/>
      <c r="J161" s="526"/>
      <c r="K161" s="525"/>
      <c r="L161" s="521">
        <v>0</v>
      </c>
      <c r="M161" s="521">
        <v>0</v>
      </c>
      <c r="N161" s="521">
        <v>0</v>
      </c>
      <c r="O161" s="521">
        <f>IF(L161&gt;0,N161*100/L161,0)</f>
        <v>0</v>
      </c>
      <c r="P161" s="521">
        <f>IF(M161&gt;0,N161*100/M161,0)</f>
        <v>0</v>
      </c>
    </row>
    <row r="162" spans="1:16" ht="18.75" x14ac:dyDescent="0.25">
      <c r="A162" s="535"/>
      <c r="B162" s="418"/>
      <c r="C162" s="418"/>
      <c r="D162" s="418"/>
      <c r="E162" s="293" t="s">
        <v>35</v>
      </c>
      <c r="F162" s="418"/>
      <c r="G162" s="422"/>
      <c r="H162" s="576" t="s">
        <v>12</v>
      </c>
      <c r="I162" s="526"/>
      <c r="J162" s="526"/>
      <c r="K162" s="525"/>
      <c r="L162" s="425">
        <f ca="1">IFERROR(__xludf.DUMMYFUNCTION("IMPORTRANGE(""https://docs.google.com/spreadsheets/d/1-uDff_7J0KD5mKrp0Vvzr7lt3OU09vwQwhkpOPPYv2Y/edit?usp=sharing"",""งบพรบ!CA30"")"),3000)</f>
        <v>3000</v>
      </c>
      <c r="M162" s="425">
        <f ca="1">IFERROR(__xludf.DUMMYFUNCTION("IMPORTRANGE(""https://docs.google.com/spreadsheets/d/1-uDff_7J0KD5mKrp0Vvzr7lt3OU09vwQwhkpOPPYv2Y/edit?usp=sharing"",""งบพรบ!CF30"")"),0)</f>
        <v>0</v>
      </c>
      <c r="N162" s="425">
        <f ca="1">IFERROR(__xludf.DUMMYFUNCTION("IMPORTRANGE(""https://docs.google.com/spreadsheets/d/1-uDff_7J0KD5mKrp0Vvzr7lt3OU09vwQwhkpOPPYv2Y/edit?usp=sharing"",""งบพรบ!CH30"")"),0)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35"/>
      <c r="B163" s="418"/>
      <c r="C163" s="418"/>
      <c r="D163" s="575" t="s">
        <v>21</v>
      </c>
      <c r="E163" s="418"/>
      <c r="F163" s="418"/>
      <c r="G163" s="422"/>
      <c r="H163" s="574" t="s">
        <v>12</v>
      </c>
      <c r="I163" s="526"/>
      <c r="J163" s="526"/>
      <c r="K163" s="525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35"/>
      <c r="B164" s="418"/>
      <c r="C164" s="418"/>
      <c r="D164" s="418"/>
      <c r="E164" s="534" t="s">
        <v>18</v>
      </c>
      <c r="F164" s="418"/>
      <c r="G164" s="422"/>
      <c r="H164" s="536" t="s">
        <v>12</v>
      </c>
      <c r="I164" s="526"/>
      <c r="J164" s="526"/>
      <c r="K164" s="525"/>
      <c r="L164" s="521">
        <v>0</v>
      </c>
      <c r="M164" s="521">
        <v>0</v>
      </c>
      <c r="N164" s="521">
        <v>0</v>
      </c>
      <c r="O164" s="521">
        <f>IF(L164&gt;0,N164*100/L164,0)</f>
        <v>0</v>
      </c>
      <c r="P164" s="521">
        <f>IF(M164&gt;0,N164*100/M164,0)</f>
        <v>0</v>
      </c>
    </row>
    <row r="165" spans="1:16" ht="18.75" x14ac:dyDescent="0.25">
      <c r="A165" s="535"/>
      <c r="B165" s="418"/>
      <c r="C165" s="418"/>
      <c r="D165" s="418"/>
      <c r="E165" s="293" t="s">
        <v>19</v>
      </c>
      <c r="F165" s="418"/>
      <c r="G165" s="422"/>
      <c r="H165" s="574" t="s">
        <v>12</v>
      </c>
      <c r="I165" s="526"/>
      <c r="J165" s="526"/>
      <c r="K165" s="525"/>
      <c r="L165" s="425">
        <f ca="1">IFERROR(__xludf.DUMMYFUNCTION("IMPORTRANGE(""https://docs.google.com/spreadsheets/d/1-uDff_7J0KD5mKrp0Vvzr7lt3OU09vwQwhkpOPPYv2Y/edit?usp=sharing"",""งบพรบ!CD30"")"),0)</f>
        <v>0</v>
      </c>
      <c r="M165" s="425">
        <f ca="1">IFERROR(__xludf.DUMMYFUNCTION("IMPORTRANGE(""https://docs.google.com/spreadsheets/d/1-uDff_7J0KD5mKrp0Vvzr7lt3OU09vwQwhkpOPPYv2Y/edit?usp=sharing"",""งบพรบ!CG30"")"),0)</f>
        <v>0</v>
      </c>
      <c r="N165" s="425">
        <f ca="1">IFERROR(__xludf.DUMMYFUNCTION("IMPORTRANGE(""https://docs.google.com/spreadsheets/d/1-uDff_7J0KD5mKrp0Vvzr7lt3OU09vwQwhkpOPPYv2Y/edit?usp=sharing"",""งบพรบ!CI30"")"),0)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2"/>
      <c r="B166" s="430"/>
      <c r="C166" s="570" t="s">
        <v>16</v>
      </c>
      <c r="D166" s="569" t="s">
        <v>36</v>
      </c>
      <c r="E166" s="529"/>
      <c r="F166" s="529"/>
      <c r="G166" s="528"/>
      <c r="H166" s="692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35"/>
      <c r="B167" s="418"/>
      <c r="C167" s="418"/>
      <c r="D167" s="293" t="s">
        <v>63</v>
      </c>
      <c r="E167" s="418"/>
      <c r="F167" s="418"/>
      <c r="G167" s="422"/>
      <c r="H167" s="574" t="s">
        <v>33</v>
      </c>
      <c r="I167" s="424">
        <f ca="1">IFERROR(__xludf.DUMMYFUNCTION("IMPORTRANGE(""https://docs.google.com/spreadsheets/d/1eHaY18a8A9IcSdp1K8H6x8fbOy06t2VsZHhMHf-1x7Y/edit?usp=sharing"",""แผน!Z30"")"),10)</f>
        <v>10</v>
      </c>
      <c r="J167" s="595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35"/>
      <c r="B168" s="418"/>
      <c r="C168" s="418"/>
      <c r="D168" s="534" t="s">
        <v>64</v>
      </c>
      <c r="E168" s="418"/>
      <c r="F168" s="418"/>
      <c r="G168" s="422"/>
      <c r="H168" s="533" t="s">
        <v>33</v>
      </c>
      <c r="I168" s="199">
        <f ca="1">I167</f>
        <v>10</v>
      </c>
      <c r="J168" s="522">
        <v>0</v>
      </c>
      <c r="K168" s="521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2"/>
      <c r="B169" s="516"/>
      <c r="C169" s="516"/>
      <c r="D169" s="701" t="s">
        <v>65</v>
      </c>
      <c r="E169" s="516"/>
      <c r="F169" s="516"/>
      <c r="G169" s="515"/>
      <c r="H169" s="700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510"/>
      <c r="M169" s="510"/>
      <c r="N169" s="510"/>
      <c r="O169" s="510"/>
      <c r="P169" s="510"/>
    </row>
    <row r="170" spans="1:16" ht="19.5" x14ac:dyDescent="0.3">
      <c r="A170" s="699" t="s">
        <v>66</v>
      </c>
      <c r="B170" s="698"/>
      <c r="C170" s="698"/>
      <c r="D170" s="698"/>
      <c r="E170" s="697"/>
      <c r="F170" s="697"/>
      <c r="G170" s="697"/>
      <c r="H170" s="697"/>
      <c r="I170" s="696"/>
      <c r="J170" s="696"/>
      <c r="K170" s="695"/>
      <c r="L170" s="695"/>
      <c r="M170" s="695"/>
      <c r="N170" s="695"/>
      <c r="O170" s="695"/>
      <c r="P170" s="694"/>
    </row>
    <row r="171" spans="1:16" ht="19.5" x14ac:dyDescent="0.3">
      <c r="A171" s="693" t="s">
        <v>67</v>
      </c>
      <c r="B171" s="666"/>
      <c r="C171" s="666"/>
      <c r="D171" s="665"/>
      <c r="E171" s="665"/>
      <c r="F171" s="665"/>
      <c r="G171" s="665"/>
      <c r="H171" s="664"/>
      <c r="I171" s="663"/>
      <c r="J171" s="663"/>
      <c r="K171" s="662"/>
      <c r="L171" s="662"/>
      <c r="M171" s="662"/>
      <c r="N171" s="662"/>
      <c r="O171" s="662"/>
      <c r="P171" s="662"/>
    </row>
    <row r="172" spans="1:16" ht="19.5" x14ac:dyDescent="0.3">
      <c r="A172" s="661"/>
      <c r="B172" s="588" t="s">
        <v>68</v>
      </c>
      <c r="C172" s="659"/>
      <c r="D172" s="529"/>
      <c r="E172" s="529"/>
      <c r="F172" s="529"/>
      <c r="G172" s="528"/>
      <c r="H172" s="689" t="s">
        <v>33</v>
      </c>
      <c r="I172" s="688">
        <f ca="1">I183+I184</f>
        <v>7</v>
      </c>
      <c r="J172" s="688">
        <f>J183+J184</f>
        <v>0</v>
      </c>
      <c r="K172" s="687">
        <f ca="1">IF(I172&gt;0,J172*100/I172,0)</f>
        <v>0</v>
      </c>
      <c r="L172" s="655"/>
      <c r="M172" s="655"/>
      <c r="N172" s="655"/>
      <c r="O172" s="655"/>
      <c r="P172" s="655"/>
    </row>
    <row r="173" spans="1:16" ht="19.5" x14ac:dyDescent="0.3">
      <c r="A173" s="535"/>
      <c r="B173" s="418"/>
      <c r="C173" s="570" t="s">
        <v>16</v>
      </c>
      <c r="D173" s="579" t="s">
        <v>17</v>
      </c>
      <c r="E173" s="418"/>
      <c r="F173" s="418"/>
      <c r="G173" s="422"/>
      <c r="H173" s="578" t="s">
        <v>12</v>
      </c>
      <c r="I173" s="427"/>
      <c r="J173" s="427"/>
      <c r="K173" s="428"/>
      <c r="L173" s="577">
        <f ca="1">L174+L175</f>
        <v>19590</v>
      </c>
      <c r="M173" s="577">
        <f ca="1">M174+M175</f>
        <v>19590</v>
      </c>
      <c r="N173" s="577">
        <f ca="1">N174+N175</f>
        <v>0</v>
      </c>
      <c r="O173" s="577">
        <f ca="1">IF(L173&gt;0,N173*100/L173,0)</f>
        <v>0</v>
      </c>
      <c r="P173" s="577">
        <f ca="1">IF(M173&gt;0,N173*100/M173,0)</f>
        <v>0</v>
      </c>
    </row>
    <row r="174" spans="1:16" ht="18.75" hidden="1" x14ac:dyDescent="0.25">
      <c r="A174" s="535"/>
      <c r="B174" s="418"/>
      <c r="C174" s="418"/>
      <c r="D174" s="418"/>
      <c r="E174" s="534" t="s">
        <v>18</v>
      </c>
      <c r="F174" s="418"/>
      <c r="G174" s="422"/>
      <c r="H174" s="538" t="s">
        <v>12</v>
      </c>
      <c r="I174" s="427"/>
      <c r="J174" s="427"/>
      <c r="K174" s="428"/>
      <c r="L174" s="521">
        <f>L177+L180</f>
        <v>0</v>
      </c>
      <c r="M174" s="521">
        <f>M177+M180</f>
        <v>0</v>
      </c>
      <c r="N174" s="521">
        <f>N177+N180</f>
        <v>0</v>
      </c>
      <c r="O174" s="521">
        <f>IF(L174&gt;0,N174*100/L174,0)</f>
        <v>0</v>
      </c>
      <c r="P174" s="521">
        <f>IF(M174&gt;0,N174*100/M174,0)</f>
        <v>0</v>
      </c>
    </row>
    <row r="175" spans="1:16" ht="18.75" x14ac:dyDescent="0.25">
      <c r="A175" s="535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35"/>
      <c r="B176" s="418"/>
      <c r="C176" s="418"/>
      <c r="D176" s="575" t="s">
        <v>20</v>
      </c>
      <c r="E176" s="418"/>
      <c r="F176" s="418"/>
      <c r="G176" s="422"/>
      <c r="H176" s="576" t="s">
        <v>12</v>
      </c>
      <c r="I176" s="526"/>
      <c r="J176" s="526"/>
      <c r="K176" s="525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35"/>
      <c r="B177" s="418"/>
      <c r="C177" s="418"/>
      <c r="D177" s="418"/>
      <c r="E177" s="534" t="s">
        <v>34</v>
      </c>
      <c r="F177" s="418"/>
      <c r="G177" s="422"/>
      <c r="H177" s="536" t="s">
        <v>12</v>
      </c>
      <c r="I177" s="526"/>
      <c r="J177" s="526"/>
      <c r="K177" s="525"/>
      <c r="L177" s="521">
        <v>0</v>
      </c>
      <c r="M177" s="521">
        <v>0</v>
      </c>
      <c r="N177" s="521">
        <v>0</v>
      </c>
      <c r="O177" s="521">
        <f>IF(L177&gt;0,N177*100/L177,0)</f>
        <v>0</v>
      </c>
      <c r="P177" s="521">
        <f>IF(M177&gt;0,N177*100/M177,0)</f>
        <v>0</v>
      </c>
    </row>
    <row r="178" spans="1:16" ht="18.75" x14ac:dyDescent="0.25">
      <c r="A178" s="535"/>
      <c r="B178" s="418"/>
      <c r="C178" s="418"/>
      <c r="D178" s="418"/>
      <c r="E178" s="293" t="s">
        <v>35</v>
      </c>
      <c r="F178" s="418"/>
      <c r="G178" s="422"/>
      <c r="H178" s="576" t="s">
        <v>12</v>
      </c>
      <c r="I178" s="526"/>
      <c r="J178" s="526"/>
      <c r="K178" s="525"/>
      <c r="L178" s="425">
        <f ca="1">IFERROR(__xludf.DUMMYFUNCTION("IMPORTRANGE(""https://docs.google.com/spreadsheets/d/1-uDff_7J0KD5mKrp0Vvzr7lt3OU09vwQwhkpOPPYv2Y/edit?usp=sharing"",""งบพรบ!CK30"")"),19590)</f>
        <v>19590</v>
      </c>
      <c r="M178" s="425">
        <f ca="1">IFERROR(__xludf.DUMMYFUNCTION("IMPORTRANGE(""https://docs.google.com/spreadsheets/d/1-uDff_7J0KD5mKrp0Vvzr7lt3OU09vwQwhkpOPPYv2Y/edit?usp=sharing"",""งบพรบ!CP30"")"),19590)</f>
        <v>19590</v>
      </c>
      <c r="N178" s="425">
        <f ca="1">IFERROR(__xludf.DUMMYFUNCTION("IMPORTRANGE(""https://docs.google.com/spreadsheets/d/1-uDff_7J0KD5mKrp0Vvzr7lt3OU09vwQwhkpOPPYv2Y/edit?usp=sharing"",""งบพรบ!CR30"")"),0)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35"/>
      <c r="B179" s="418"/>
      <c r="C179" s="418"/>
      <c r="D179" s="575" t="s">
        <v>21</v>
      </c>
      <c r="E179" s="418"/>
      <c r="F179" s="418"/>
      <c r="G179" s="422"/>
      <c r="H179" s="574" t="s">
        <v>12</v>
      </c>
      <c r="I179" s="526"/>
      <c r="J179" s="526"/>
      <c r="K179" s="525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35"/>
      <c r="B180" s="418"/>
      <c r="C180" s="418"/>
      <c r="D180" s="418"/>
      <c r="E180" s="534" t="s">
        <v>18</v>
      </c>
      <c r="F180" s="418"/>
      <c r="G180" s="422"/>
      <c r="H180" s="536" t="s">
        <v>12</v>
      </c>
      <c r="I180" s="526"/>
      <c r="J180" s="526"/>
      <c r="K180" s="525"/>
      <c r="L180" s="521">
        <v>0</v>
      </c>
      <c r="M180" s="521">
        <v>0</v>
      </c>
      <c r="N180" s="521">
        <v>0</v>
      </c>
      <c r="O180" s="521">
        <f>IF(L180&gt;0,N180*100/L180,0)</f>
        <v>0</v>
      </c>
      <c r="P180" s="521">
        <f>IF(M180&gt;0,N180*100/M180,0)</f>
        <v>0</v>
      </c>
    </row>
    <row r="181" spans="1:16" ht="18.75" x14ac:dyDescent="0.25">
      <c r="A181" s="535"/>
      <c r="B181" s="418"/>
      <c r="C181" s="418"/>
      <c r="D181" s="418"/>
      <c r="E181" s="293" t="s">
        <v>19</v>
      </c>
      <c r="F181" s="418"/>
      <c r="G181" s="422"/>
      <c r="H181" s="574" t="s">
        <v>12</v>
      </c>
      <c r="I181" s="526"/>
      <c r="J181" s="526"/>
      <c r="K181" s="525"/>
      <c r="L181" s="425">
        <f ca="1">IFERROR(__xludf.DUMMYFUNCTION("IMPORTRANGE(""https://docs.google.com/spreadsheets/d/1-uDff_7J0KD5mKrp0Vvzr7lt3OU09vwQwhkpOPPYv2Y/edit?usp=sharing"",""งบพรบ!CN30"")"),0)</f>
        <v>0</v>
      </c>
      <c r="M181" s="425">
        <f ca="1">IFERROR(__xludf.DUMMYFUNCTION("IMPORTRANGE(""https://docs.google.com/spreadsheets/d/1-uDff_7J0KD5mKrp0Vvzr7lt3OU09vwQwhkpOPPYv2Y/edit?usp=sharing"",""งบพรบ!CQ30"")"),0)</f>
        <v>0</v>
      </c>
      <c r="N181" s="425">
        <f ca="1">IFERROR(__xludf.DUMMYFUNCTION("IMPORTRANGE(""https://docs.google.com/spreadsheets/d/1-uDff_7J0KD5mKrp0Vvzr7lt3OU09vwQwhkpOPPYv2Y/edit?usp=sharing"",""งบพรบ!CS30"")"),0)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2"/>
      <c r="B182" s="430"/>
      <c r="C182" s="570" t="s">
        <v>16</v>
      </c>
      <c r="D182" s="569" t="s">
        <v>36</v>
      </c>
      <c r="E182" s="529"/>
      <c r="F182" s="529"/>
      <c r="G182" s="528"/>
      <c r="H182" s="692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1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IFERROR(__xludf.DUMMYFUNCTION("IMPORTRANGE(""https://docs.google.com/spreadsheets/d/1eHaY18a8A9IcSdp1K8H6x8fbOy06t2VsZHhMHf-1x7Y/edit?usp=sharing"",""แผน!AA30"")"),7)</f>
        <v>7</v>
      </c>
      <c r="J183" s="595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0" t="s">
        <v>70</v>
      </c>
      <c r="E184" s="418"/>
      <c r="F184" s="418"/>
      <c r="G184" s="422"/>
      <c r="H184" s="523" t="s">
        <v>33</v>
      </c>
      <c r="I184" s="199">
        <v>0</v>
      </c>
      <c r="J184" s="199">
        <v>0</v>
      </c>
      <c r="K184" s="521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61"/>
      <c r="B185" s="588" t="s">
        <v>71</v>
      </c>
      <c r="C185" s="659"/>
      <c r="D185" s="529"/>
      <c r="E185" s="529"/>
      <c r="F185" s="529"/>
      <c r="G185" s="528"/>
      <c r="H185" s="689" t="s">
        <v>33</v>
      </c>
      <c r="I185" s="688">
        <f ca="1">I230+I231</f>
        <v>0</v>
      </c>
      <c r="J185" s="688">
        <f>J230+J231</f>
        <v>0</v>
      </c>
      <c r="K185" s="687">
        <f ca="1">IF(I185&gt;0,J185*100/I185,0)</f>
        <v>0</v>
      </c>
      <c r="L185" s="655"/>
      <c r="M185" s="655"/>
      <c r="N185" s="655"/>
      <c r="O185" s="655"/>
      <c r="P185" s="655"/>
    </row>
    <row r="186" spans="1:16" ht="19.5" x14ac:dyDescent="0.3">
      <c r="A186" s="535"/>
      <c r="B186" s="418"/>
      <c r="C186" s="570" t="s">
        <v>16</v>
      </c>
      <c r="D186" s="579" t="s">
        <v>17</v>
      </c>
      <c r="E186" s="418"/>
      <c r="F186" s="418"/>
      <c r="G186" s="422"/>
      <c r="H186" s="578" t="s">
        <v>12</v>
      </c>
      <c r="I186" s="427"/>
      <c r="J186" s="427"/>
      <c r="K186" s="428"/>
      <c r="L186" s="577">
        <f ca="1">L187+L188</f>
        <v>40500</v>
      </c>
      <c r="M186" s="577">
        <f ca="1">M187+M188</f>
        <v>22500</v>
      </c>
      <c r="N186" s="577">
        <f ca="1">N187+N188</f>
        <v>1000</v>
      </c>
      <c r="O186" s="577">
        <f ca="1">IF(L186&gt;0,N186*100/L186,0)</f>
        <v>2.4691358024691357</v>
      </c>
      <c r="P186" s="577">
        <f ca="1">IF(M186&gt;0,N186*100/M186,0)</f>
        <v>4.4444444444444446</v>
      </c>
    </row>
    <row r="187" spans="1:16" ht="18.75" hidden="1" x14ac:dyDescent="0.25">
      <c r="A187" s="535"/>
      <c r="B187" s="418"/>
      <c r="C187" s="418"/>
      <c r="D187" s="418"/>
      <c r="E187" s="534" t="s">
        <v>18</v>
      </c>
      <c r="F187" s="418"/>
      <c r="G187" s="422"/>
      <c r="H187" s="538" t="s">
        <v>12</v>
      </c>
      <c r="I187" s="427"/>
      <c r="J187" s="427"/>
      <c r="K187" s="428"/>
      <c r="L187" s="521">
        <f>L190+L193</f>
        <v>0</v>
      </c>
      <c r="M187" s="521">
        <f>M190+M193</f>
        <v>0</v>
      </c>
      <c r="N187" s="521">
        <f>N190+N193</f>
        <v>0</v>
      </c>
      <c r="O187" s="521">
        <f>IF(L187&gt;0,N187*100/L187,0)</f>
        <v>0</v>
      </c>
      <c r="P187" s="521">
        <f>IF(M187&gt;0,N187*100/M187,0)</f>
        <v>0</v>
      </c>
    </row>
    <row r="188" spans="1:16" ht="18.75" x14ac:dyDescent="0.25">
      <c r="A188" s="535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40500</v>
      </c>
      <c r="M188" s="425">
        <f ca="1">M191+M194</f>
        <v>22500</v>
      </c>
      <c r="N188" s="425">
        <f ca="1">N191+N194</f>
        <v>1000</v>
      </c>
      <c r="O188" s="425">
        <f ca="1">IF(L188&gt;0,N188*100/L188,0)</f>
        <v>2.4691358024691357</v>
      </c>
      <c r="P188" s="425">
        <f ca="1">IF(M188&gt;0,N188*100/M188,0)</f>
        <v>4.4444444444444446</v>
      </c>
    </row>
    <row r="189" spans="1:16" ht="18.75" x14ac:dyDescent="0.25">
      <c r="A189" s="535"/>
      <c r="B189" s="418"/>
      <c r="C189" s="418"/>
      <c r="D189" s="575" t="s">
        <v>20</v>
      </c>
      <c r="E189" s="418"/>
      <c r="F189" s="418"/>
      <c r="G189" s="422"/>
      <c r="H189" s="576" t="s">
        <v>12</v>
      </c>
      <c r="I189" s="526"/>
      <c r="J189" s="526"/>
      <c r="K189" s="525"/>
      <c r="L189" s="425">
        <f ca="1">L190+L191</f>
        <v>40500</v>
      </c>
      <c r="M189" s="425">
        <f ca="1">M190+M191</f>
        <v>22500</v>
      </c>
      <c r="N189" s="425">
        <f ca="1">N190+N191</f>
        <v>1000</v>
      </c>
      <c r="O189" s="425">
        <f ca="1">IF(L189&gt;0,N189*100/L189,0)</f>
        <v>2.4691358024691357</v>
      </c>
      <c r="P189" s="425">
        <f ca="1">IF(M189&gt;0,N189*100/M189,0)</f>
        <v>4.4444444444444446</v>
      </c>
    </row>
    <row r="190" spans="1:16" ht="18.75" hidden="1" x14ac:dyDescent="0.25">
      <c r="A190" s="535"/>
      <c r="B190" s="418"/>
      <c r="C190" s="418"/>
      <c r="D190" s="418"/>
      <c r="E190" s="534" t="s">
        <v>34</v>
      </c>
      <c r="F190" s="418"/>
      <c r="G190" s="422"/>
      <c r="H190" s="536" t="s">
        <v>12</v>
      </c>
      <c r="I190" s="526"/>
      <c r="J190" s="526"/>
      <c r="K190" s="525"/>
      <c r="L190" s="521">
        <v>0</v>
      </c>
      <c r="M190" s="521">
        <v>0</v>
      </c>
      <c r="N190" s="521">
        <v>0</v>
      </c>
      <c r="O190" s="521">
        <f>IF(L190&gt;0,N190*100/L190,0)</f>
        <v>0</v>
      </c>
      <c r="P190" s="521">
        <f>IF(M190&gt;0,N190*100/M190,0)</f>
        <v>0</v>
      </c>
    </row>
    <row r="191" spans="1:16" ht="18.75" x14ac:dyDescent="0.25">
      <c r="A191" s="535"/>
      <c r="B191" s="418"/>
      <c r="C191" s="418"/>
      <c r="D191" s="418"/>
      <c r="E191" s="293" t="s">
        <v>35</v>
      </c>
      <c r="F191" s="418"/>
      <c r="G191" s="422"/>
      <c r="H191" s="576" t="s">
        <v>12</v>
      </c>
      <c r="I191" s="526"/>
      <c r="J191" s="526"/>
      <c r="K191" s="525"/>
      <c r="L191" s="425">
        <f ca="1">IFERROR(__xludf.DUMMYFUNCTION("IMPORTRANGE(""https://docs.google.com/spreadsheets/d/1-uDff_7J0KD5mKrp0Vvzr7lt3OU09vwQwhkpOPPYv2Y/edit?usp=sharing"",""งบพรบ!CU30"")"),40500)</f>
        <v>40500</v>
      </c>
      <c r="M191" s="425">
        <f ca="1">IFERROR(__xludf.DUMMYFUNCTION("IMPORTRANGE(""https://docs.google.com/spreadsheets/d/1-uDff_7J0KD5mKrp0Vvzr7lt3OU09vwQwhkpOPPYv2Y/edit?usp=sharing"",""งบพรบ!CZ30"")"),22500)</f>
        <v>22500</v>
      </c>
      <c r="N191" s="425">
        <f ca="1">IFERROR(__xludf.DUMMYFUNCTION("IMPORTRANGE(""https://docs.google.com/spreadsheets/d/1-uDff_7J0KD5mKrp0Vvzr7lt3OU09vwQwhkpOPPYv2Y/edit?usp=sharing"",""งบพรบ!DB30"")"),1000)</f>
        <v>1000</v>
      </c>
      <c r="O191" s="425">
        <f ca="1">IF(L191&gt;0,N191*100/L191,0)</f>
        <v>2.4691358024691357</v>
      </c>
      <c r="P191" s="425">
        <f ca="1">IF(M191&gt;0,N191*100/M191,0)</f>
        <v>4.4444444444444446</v>
      </c>
    </row>
    <row r="192" spans="1:16" ht="18.75" x14ac:dyDescent="0.25">
      <c r="A192" s="535"/>
      <c r="B192" s="418"/>
      <c r="C192" s="418"/>
      <c r="D192" s="575" t="s">
        <v>21</v>
      </c>
      <c r="E192" s="418"/>
      <c r="F192" s="418"/>
      <c r="G192" s="422"/>
      <c r="H192" s="574" t="s">
        <v>12</v>
      </c>
      <c r="I192" s="526"/>
      <c r="J192" s="526"/>
      <c r="K192" s="525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35"/>
      <c r="B193" s="418"/>
      <c r="C193" s="418"/>
      <c r="D193" s="418"/>
      <c r="E193" s="534" t="s">
        <v>18</v>
      </c>
      <c r="F193" s="418"/>
      <c r="G193" s="422"/>
      <c r="H193" s="536" t="s">
        <v>12</v>
      </c>
      <c r="I193" s="526"/>
      <c r="J193" s="526"/>
      <c r="K193" s="525"/>
      <c r="L193" s="521">
        <v>0</v>
      </c>
      <c r="M193" s="521">
        <v>0</v>
      </c>
      <c r="N193" s="521">
        <v>0</v>
      </c>
      <c r="O193" s="521">
        <f>IF(L193&gt;0,N193*100/L193,0)</f>
        <v>0</v>
      </c>
      <c r="P193" s="521">
        <f>IF(M193&gt;0,N193*100/M193,0)</f>
        <v>0</v>
      </c>
    </row>
    <row r="194" spans="1:16" ht="18.75" x14ac:dyDescent="0.25">
      <c r="A194" s="535"/>
      <c r="B194" s="418"/>
      <c r="C194" s="418"/>
      <c r="D194" s="418"/>
      <c r="E194" s="293" t="s">
        <v>19</v>
      </c>
      <c r="F194" s="418"/>
      <c r="G194" s="422"/>
      <c r="H194" s="574" t="s">
        <v>12</v>
      </c>
      <c r="I194" s="526"/>
      <c r="J194" s="526"/>
      <c r="K194" s="525"/>
      <c r="L194" s="425">
        <f ca="1">IFERROR(__xludf.DUMMYFUNCTION("IMPORTRANGE(""https://docs.google.com/spreadsheets/d/1-uDff_7J0KD5mKrp0Vvzr7lt3OU09vwQwhkpOPPYv2Y/edit?usp=sharing"",""งบพรบ!CX30"")"),0)</f>
        <v>0</v>
      </c>
      <c r="M194" s="425">
        <f ca="1">IFERROR(__xludf.DUMMYFUNCTION("IMPORTRANGE(""https://docs.google.com/spreadsheets/d/1-uDff_7J0KD5mKrp0Vvzr7lt3OU09vwQwhkpOPPYv2Y/edit?usp=sharing"",""งบพรบ!DA30"")"),0)</f>
        <v>0</v>
      </c>
      <c r="N194" s="425">
        <f ca="1">IFERROR(__xludf.DUMMYFUNCTION("IMPORTRANGE(""https://docs.google.com/spreadsheets/d/1-uDff_7J0KD5mKrp0Vvzr7lt3OU09vwQwhkpOPPYv2Y/edit?usp=sharing"",""งบพรบ!DC30"")"),0)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2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71"/>
      <c r="M195" s="571"/>
      <c r="N195" s="571"/>
      <c r="O195" s="571"/>
      <c r="P195" s="571"/>
    </row>
    <row r="196" spans="1:16" ht="19.5" x14ac:dyDescent="0.3">
      <c r="A196" s="535"/>
      <c r="B196" s="418"/>
      <c r="C196" s="570" t="s">
        <v>16</v>
      </c>
      <c r="D196" s="684" t="s">
        <v>17</v>
      </c>
      <c r="E196" s="418"/>
      <c r="F196" s="418"/>
      <c r="G196" s="422"/>
      <c r="H196" s="681" t="s">
        <v>12</v>
      </c>
      <c r="I196" s="427"/>
      <c r="J196" s="427"/>
      <c r="K196" s="428"/>
      <c r="L196" s="577">
        <f ca="1">IFERROR(__xludf.DUMMYFUNCTION("IMPORTRANGE(""https://docs.google.com/spreadsheets/d/1eHaY18a8A9IcSdp1K8H6x8fbOy06t2VsZHhMHf-1x7Y/edit?usp=sharing"",""แผน!AB30"")"),6000)</f>
        <v>6000</v>
      </c>
      <c r="M196" s="428"/>
      <c r="N196" s="686">
        <v>0</v>
      </c>
      <c r="O196" s="577">
        <f ca="1">IF(L196&gt;0,N196*100/L196,0)</f>
        <v>0</v>
      </c>
      <c r="P196" s="577">
        <f>IF(M196&gt;0,N196*100/M196,0)</f>
        <v>0</v>
      </c>
    </row>
    <row r="197" spans="1:16" ht="19.5" x14ac:dyDescent="0.3">
      <c r="A197" s="532"/>
      <c r="B197" s="430"/>
      <c r="C197" s="570" t="s">
        <v>16</v>
      </c>
      <c r="D197" s="569" t="s">
        <v>36</v>
      </c>
      <c r="E197" s="529"/>
      <c r="F197" s="529"/>
      <c r="G197" s="528"/>
      <c r="H197" s="527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2"/>
      <c r="B198" s="430"/>
      <c r="C198" s="430"/>
      <c r="D198" s="421" t="s">
        <v>74</v>
      </c>
      <c r="E198" s="420"/>
      <c r="F198" s="420"/>
      <c r="G198" s="527"/>
      <c r="H198" s="566" t="s">
        <v>73</v>
      </c>
      <c r="I198" s="424">
        <f ca="1">IFERROR(__xludf.DUMMYFUNCTION("IMPORTRANGE(""https://docs.google.com/spreadsheets/d/1eHaY18a8A9IcSdp1K8H6x8fbOy06t2VsZHhMHf-1x7Y/edit?usp=sharing"",""แผน!AE30"")"),4)</f>
        <v>4</v>
      </c>
      <c r="J198" s="595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2"/>
      <c r="B199" s="430"/>
      <c r="C199" s="430"/>
      <c r="D199" s="421" t="s">
        <v>75</v>
      </c>
      <c r="E199" s="420"/>
      <c r="F199" s="420"/>
      <c r="G199" s="527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2"/>
      <c r="B200" s="430"/>
      <c r="C200" s="430"/>
      <c r="D200" s="430"/>
      <c r="E200" s="421" t="s">
        <v>76</v>
      </c>
      <c r="F200" s="420"/>
      <c r="G200" s="527"/>
      <c r="H200" s="423" t="s">
        <v>33</v>
      </c>
      <c r="I200" s="427"/>
      <c r="J200" s="595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2"/>
      <c r="B201" s="430"/>
      <c r="C201" s="430"/>
      <c r="D201" s="430"/>
      <c r="E201" s="421" t="s">
        <v>77</v>
      </c>
      <c r="F201" s="420"/>
      <c r="G201" s="527"/>
      <c r="H201" s="423" t="s">
        <v>33</v>
      </c>
      <c r="I201" s="427"/>
      <c r="J201" s="595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2" t="s">
        <v>78</v>
      </c>
      <c r="D202" s="433"/>
      <c r="E202" s="433"/>
      <c r="F202" s="433"/>
      <c r="G202" s="436"/>
      <c r="H202" s="572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71"/>
      <c r="M202" s="571"/>
      <c r="N202" s="571"/>
      <c r="O202" s="571"/>
      <c r="P202" s="571"/>
    </row>
    <row r="203" spans="1:16" ht="19.5" x14ac:dyDescent="0.3">
      <c r="A203" s="535"/>
      <c r="B203" s="418"/>
      <c r="C203" s="570" t="s">
        <v>16</v>
      </c>
      <c r="D203" s="684" t="s">
        <v>17</v>
      </c>
      <c r="E203" s="418"/>
      <c r="F203" s="418"/>
      <c r="G203" s="422"/>
      <c r="H203" s="681" t="s">
        <v>12</v>
      </c>
      <c r="I203" s="526"/>
      <c r="J203" s="526"/>
      <c r="K203" s="525"/>
      <c r="L203" s="577">
        <f ca="1">L204+L205+L206+L207</f>
        <v>26000</v>
      </c>
      <c r="M203" s="428"/>
      <c r="N203" s="577">
        <f>N204+N205+N206+N207</f>
        <v>0</v>
      </c>
      <c r="O203" s="577">
        <f ca="1">IF(L203&gt;0,N203*100/L203,0)</f>
        <v>0</v>
      </c>
      <c r="P203" s="577">
        <f>IF(M203&gt;0,N203*100/M203,0)</f>
        <v>0</v>
      </c>
    </row>
    <row r="204" spans="1:16" ht="18.75" x14ac:dyDescent="0.25">
      <c r="A204" s="535"/>
      <c r="B204" s="419"/>
      <c r="C204" s="418"/>
      <c r="D204" s="292" t="s">
        <v>160</v>
      </c>
      <c r="E204" s="418"/>
      <c r="F204" s="418"/>
      <c r="G204" s="422"/>
      <c r="H204" s="576" t="s">
        <v>12</v>
      </c>
      <c r="I204" s="526"/>
      <c r="J204" s="526"/>
      <c r="K204" s="525"/>
      <c r="L204" s="425">
        <f ca="1">IFERROR(__xludf.DUMMYFUNCTION("IMPORTRANGE(""https://docs.google.com/spreadsheets/d/1eHaY18a8A9IcSdp1K8H6x8fbOy06t2VsZHhMHf-1x7Y/edit?usp=sharing"",""แผน!AG30"")"),2000)</f>
        <v>2000</v>
      </c>
      <c r="M204" s="428"/>
      <c r="N204" s="683">
        <v>0</v>
      </c>
      <c r="O204" s="525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96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IFERROR(__xludf.DUMMYFUNCTION("IMPORTRANGE(""https://docs.google.com/spreadsheets/d/1eHaY18a8A9IcSdp1K8H6x8fbOy06t2VsZHhMHf-1x7Y/edit?usp=sharing"",""แผน!AH30"")"),0)</f>
        <v>0</v>
      </c>
      <c r="M205" s="428"/>
      <c r="N205" s="683">
        <v>0</v>
      </c>
      <c r="O205" s="525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96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IFERROR(__xludf.DUMMYFUNCTION("IMPORTRANGE(""https://docs.google.com/spreadsheets/d/1eHaY18a8A9IcSdp1K8H6x8fbOy06t2VsZHhMHf-1x7Y/edit?usp=sharing"",""แผน!AI30"")"),16000)</f>
        <v>16000</v>
      </c>
      <c r="M206" s="428"/>
      <c r="N206" s="683">
        <v>0</v>
      </c>
      <c r="O206" s="525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96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IFERROR(__xludf.DUMMYFUNCTION("IMPORTRANGE(""https://docs.google.com/spreadsheets/d/1eHaY18a8A9IcSdp1K8H6x8fbOy06t2VsZHhMHf-1x7Y/edit?usp=sharing"",""แผน!AJ30"")"),8000)</f>
        <v>8000</v>
      </c>
      <c r="M207" s="428"/>
      <c r="N207" s="683">
        <v>0</v>
      </c>
      <c r="O207" s="525"/>
      <c r="P207" s="428"/>
    </row>
    <row r="208" spans="1:16" ht="19.5" x14ac:dyDescent="0.3">
      <c r="A208" s="532"/>
      <c r="B208" s="430"/>
      <c r="C208" s="570" t="s">
        <v>16</v>
      </c>
      <c r="D208" s="569" t="s">
        <v>36</v>
      </c>
      <c r="E208" s="529"/>
      <c r="F208" s="529"/>
      <c r="G208" s="528"/>
      <c r="H208" s="527"/>
      <c r="I208" s="526"/>
      <c r="J208" s="526"/>
      <c r="K208" s="525"/>
      <c r="L208" s="525"/>
      <c r="M208" s="525"/>
      <c r="N208" s="525"/>
      <c r="O208" s="525"/>
      <c r="P208" s="525"/>
    </row>
    <row r="209" spans="1:16" ht="18.75" x14ac:dyDescent="0.25">
      <c r="A209" s="532"/>
      <c r="B209" s="430"/>
      <c r="C209" s="430"/>
      <c r="D209" s="567" t="s">
        <v>84</v>
      </c>
      <c r="E209" s="420"/>
      <c r="F209" s="420"/>
      <c r="G209" s="527"/>
      <c r="H209" s="685" t="s">
        <v>79</v>
      </c>
      <c r="I209" s="424">
        <f ca="1">IFERROR(__xludf.DUMMYFUNCTION("IMPORTRANGE(""https://docs.google.com/spreadsheets/d/1eHaY18a8A9IcSdp1K8H6x8fbOy06t2VsZHhMHf-1x7Y/edit?usp=sharing"",""แผน!AK30"")"),2)</f>
        <v>2</v>
      </c>
      <c r="J209" s="595">
        <v>0</v>
      </c>
      <c r="K209" s="621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2"/>
      <c r="B210" s="430"/>
      <c r="C210" s="430"/>
      <c r="D210" s="421" t="s">
        <v>48</v>
      </c>
      <c r="E210" s="420"/>
      <c r="F210" s="420"/>
      <c r="G210" s="527"/>
      <c r="H210" s="527"/>
      <c r="I210" s="427"/>
      <c r="J210" s="427"/>
      <c r="K210" s="525"/>
      <c r="L210" s="428"/>
      <c r="M210" s="428"/>
      <c r="N210" s="428"/>
      <c r="O210" s="428"/>
      <c r="P210" s="428"/>
    </row>
    <row r="211" spans="1:16" ht="18.75" x14ac:dyDescent="0.25">
      <c r="A211" s="532"/>
      <c r="B211" s="430"/>
      <c r="C211" s="430"/>
      <c r="D211" s="420"/>
      <c r="E211" s="421" t="s">
        <v>85</v>
      </c>
      <c r="F211" s="420"/>
      <c r="G211" s="527"/>
      <c r="H211" s="685" t="s">
        <v>79</v>
      </c>
      <c r="I211" s="424">
        <f ca="1">IFERROR(__xludf.DUMMYFUNCTION("IMPORTRANGE(""https://docs.google.com/spreadsheets/d/1eHaY18a8A9IcSdp1K8H6x8fbOy06t2VsZHhMHf-1x7Y/edit?usp=sharing"",""แผน!JX30"")"),2)</f>
        <v>2</v>
      </c>
      <c r="J211" s="595">
        <v>0</v>
      </c>
      <c r="K211" s="621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2"/>
      <c r="B212" s="430"/>
      <c r="C212" s="430"/>
      <c r="D212" s="420"/>
      <c r="E212" s="421" t="s">
        <v>86</v>
      </c>
      <c r="F212" s="420"/>
      <c r="G212" s="420"/>
      <c r="H212" s="566" t="s">
        <v>87</v>
      </c>
      <c r="I212" s="424">
        <f ca="1">IFERROR(__xludf.DUMMYFUNCTION("IMPORTRANGE(""https://docs.google.com/spreadsheets/d/1eHaY18a8A9IcSdp1K8H6x8fbOy06t2VsZHhMHf-1x7Y/edit?usp=sharing"",""แผน!JY30"")"),0)</f>
        <v>0</v>
      </c>
      <c r="J212" s="595">
        <v>0</v>
      </c>
      <c r="K212" s="621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2" t="s">
        <v>88</v>
      </c>
      <c r="D213" s="433"/>
      <c r="E213" s="433"/>
      <c r="F213" s="433"/>
      <c r="G213" s="436"/>
      <c r="H213" s="572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71"/>
      <c r="M213" s="571"/>
      <c r="N213" s="571"/>
      <c r="O213" s="571"/>
      <c r="P213" s="571"/>
    </row>
    <row r="214" spans="1:16" ht="19.5" hidden="1" x14ac:dyDescent="0.3">
      <c r="A214" s="535"/>
      <c r="B214" s="418"/>
      <c r="C214" s="570" t="s">
        <v>16</v>
      </c>
      <c r="D214" s="684" t="s">
        <v>17</v>
      </c>
      <c r="E214" s="418"/>
      <c r="F214" s="418"/>
      <c r="G214" s="422"/>
      <c r="H214" s="681" t="s">
        <v>12</v>
      </c>
      <c r="I214" s="526"/>
      <c r="J214" s="526"/>
      <c r="K214" s="525"/>
      <c r="L214" s="577">
        <f ca="1">L215+L216+L217</f>
        <v>0</v>
      </c>
      <c r="M214" s="428"/>
      <c r="N214" s="577">
        <f>N215+N216+N217</f>
        <v>0</v>
      </c>
      <c r="O214" s="577">
        <f ca="1">IF(L214&gt;0,N214*100/L214,0)</f>
        <v>0</v>
      </c>
      <c r="P214" s="577">
        <f>IF(M214&gt;0,N214*100/M214,0)</f>
        <v>0</v>
      </c>
    </row>
    <row r="215" spans="1:16" ht="18.75" hidden="1" x14ac:dyDescent="0.25">
      <c r="A215" s="535"/>
      <c r="B215" s="419"/>
      <c r="C215" s="418"/>
      <c r="D215" s="293" t="s">
        <v>80</v>
      </c>
      <c r="E215" s="418"/>
      <c r="F215" s="418"/>
      <c r="G215" s="422"/>
      <c r="H215" s="576" t="s">
        <v>12</v>
      </c>
      <c r="I215" s="526"/>
      <c r="J215" s="526"/>
      <c r="K215" s="525"/>
      <c r="L215" s="425">
        <f ca="1">IFERROR(__xludf.DUMMYFUNCTION("IMPORTRANGE(""https://docs.google.com/spreadsheets/d/1eHaY18a8A9IcSdp1K8H6x8fbOy06t2VsZHhMHf-1x7Y/edit?usp=sharing"",""แผน!AM30"")"),0)</f>
        <v>0</v>
      </c>
      <c r="M215" s="428"/>
      <c r="N215" s="683">
        <v>0</v>
      </c>
      <c r="O215" s="525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76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IFERROR(__xludf.DUMMYFUNCTION("IMPORTRANGE(""https://docs.google.com/spreadsheets/d/1eHaY18a8A9IcSdp1K8H6x8fbOy06t2VsZHhMHf-1x7Y/edit?usp=sharing"",""แผน!AN30"")"),0)</f>
        <v>0</v>
      </c>
      <c r="M216" s="428"/>
      <c r="N216" s="683">
        <v>0</v>
      </c>
      <c r="O216" s="525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76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IFERROR(__xludf.DUMMYFUNCTION("IMPORTRANGE(""https://docs.google.com/spreadsheets/d/1eHaY18a8A9IcSdp1K8H6x8fbOy06t2VsZHhMHf-1x7Y/edit?usp=sharing"",""แผน!AO30"")"),0)</f>
        <v>0</v>
      </c>
      <c r="M217" s="428"/>
      <c r="N217" s="683">
        <v>0</v>
      </c>
      <c r="O217" s="525"/>
      <c r="P217" s="428"/>
    </row>
    <row r="218" spans="1:16" ht="19.5" hidden="1" x14ac:dyDescent="0.3">
      <c r="A218" s="532"/>
      <c r="B218" s="430"/>
      <c r="C218" s="680" t="s">
        <v>16</v>
      </c>
      <c r="D218" s="569" t="s">
        <v>36</v>
      </c>
      <c r="E218" s="529"/>
      <c r="F218" s="529"/>
      <c r="G218" s="528"/>
      <c r="H218" s="527"/>
      <c r="I218" s="526"/>
      <c r="J218" s="427"/>
      <c r="K218" s="428"/>
      <c r="L218" s="428"/>
      <c r="M218" s="428"/>
      <c r="N218" s="428"/>
      <c r="O218" s="525"/>
      <c r="P218" s="525"/>
    </row>
    <row r="219" spans="1:16" ht="18.75" hidden="1" x14ac:dyDescent="0.25">
      <c r="A219" s="532"/>
      <c r="B219" s="430"/>
      <c r="C219" s="430"/>
      <c r="D219" s="567" t="s">
        <v>90</v>
      </c>
      <c r="E219" s="420"/>
      <c r="F219" s="420"/>
      <c r="G219" s="527"/>
      <c r="H219" s="685" t="s">
        <v>79</v>
      </c>
      <c r="I219" s="424">
        <f ca="1">IFERROR(__xludf.DUMMYFUNCTION("IMPORTRANGE(""https://docs.google.com/spreadsheets/d/1eHaY18a8A9IcSdp1K8H6x8fbOy06t2VsZHhMHf-1x7Y/edit?usp=sharing"",""แผน!AP30"")"),0)</f>
        <v>0</v>
      </c>
      <c r="J219" s="595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2"/>
      <c r="B220" s="430"/>
      <c r="C220" s="430"/>
      <c r="D220" s="567" t="s">
        <v>91</v>
      </c>
      <c r="E220" s="420"/>
      <c r="F220" s="420"/>
      <c r="G220" s="527"/>
      <c r="H220" s="685" t="s">
        <v>79</v>
      </c>
      <c r="I220" s="424">
        <f ca="1">IFERROR(__xludf.DUMMYFUNCTION("IMPORTRANGE(""https://docs.google.com/spreadsheets/d/1eHaY18a8A9IcSdp1K8H6x8fbOy06t2VsZHhMHf-1x7Y/edit?usp=sharing"",""แผน!AP30"")"),0)</f>
        <v>0</v>
      </c>
      <c r="J220" s="595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2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71"/>
      <c r="M221" s="571"/>
      <c r="N221" s="571"/>
      <c r="O221" s="571"/>
      <c r="P221" s="571"/>
    </row>
    <row r="222" spans="1:16" ht="19.5" x14ac:dyDescent="0.3">
      <c r="A222" s="535"/>
      <c r="B222" s="418"/>
      <c r="C222" s="570" t="s">
        <v>16</v>
      </c>
      <c r="D222" s="684" t="s">
        <v>17</v>
      </c>
      <c r="E222" s="418"/>
      <c r="F222" s="418"/>
      <c r="G222" s="422"/>
      <c r="H222" s="681" t="s">
        <v>12</v>
      </c>
      <c r="I222" s="526"/>
      <c r="J222" s="526"/>
      <c r="K222" s="525"/>
      <c r="L222" s="577">
        <f ca="1">L223+L224+L225</f>
        <v>8500</v>
      </c>
      <c r="M222" s="428"/>
      <c r="N222" s="577">
        <f>N223+N224+N225</f>
        <v>0</v>
      </c>
      <c r="O222" s="577">
        <f ca="1">IF(L222&gt;0,N222*100/L222,0)</f>
        <v>0</v>
      </c>
      <c r="P222" s="577">
        <f>IF(M222&gt;0,N222*100/M222,0)</f>
        <v>0</v>
      </c>
    </row>
    <row r="223" spans="1:16" ht="18.75" x14ac:dyDescent="0.25">
      <c r="A223" s="535"/>
      <c r="B223" s="419"/>
      <c r="C223" s="418"/>
      <c r="D223" s="292" t="s">
        <v>156</v>
      </c>
      <c r="E223" s="418"/>
      <c r="F223" s="418"/>
      <c r="G223" s="422"/>
      <c r="H223" s="576" t="s">
        <v>12</v>
      </c>
      <c r="I223" s="526"/>
      <c r="J223" s="526"/>
      <c r="K223" s="525"/>
      <c r="L223" s="425">
        <f ca="1">IFERROR(__xludf.DUMMYFUNCTION("IMPORTRANGE(""https://docs.google.com/spreadsheets/d/1eHaY18a8A9IcSdp1K8H6x8fbOy06t2VsZHhMHf-1x7Y/edit?usp=sharing"",""แผน!AR30"")"),7000)</f>
        <v>7000</v>
      </c>
      <c r="M223" s="428"/>
      <c r="N223" s="683">
        <v>0</v>
      </c>
      <c r="O223" s="525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76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IFERROR(__xludf.DUMMYFUNCTION("IMPORTRANGE(""https://docs.google.com/spreadsheets/d/1eHaY18a8A9IcSdp1K8H6x8fbOy06t2VsZHhMHf-1x7Y/edit?usp=sharing"",""แผน!AS30"")"),1500)</f>
        <v>1500</v>
      </c>
      <c r="M224" s="428"/>
      <c r="N224" s="683">
        <v>0</v>
      </c>
      <c r="O224" s="525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76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IFERROR(__xludf.DUMMYFUNCTION("IMPORTRANGE(""https://docs.google.com/spreadsheets/d/1eHaY18a8A9IcSdp1K8H6x8fbOy06t2VsZHhMHf-1x7Y/edit?usp=sharing"",""แผน!AT30"")"),0)</f>
        <v>0</v>
      </c>
      <c r="M225" s="428"/>
      <c r="N225" s="683">
        <v>0</v>
      </c>
      <c r="O225" s="525"/>
      <c r="P225" s="428"/>
    </row>
    <row r="226" spans="1:16" ht="19.5" x14ac:dyDescent="0.3">
      <c r="A226" s="532"/>
      <c r="B226" s="430"/>
      <c r="C226" s="680" t="s">
        <v>16</v>
      </c>
      <c r="D226" s="569" t="s">
        <v>36</v>
      </c>
      <c r="E226" s="529"/>
      <c r="F226" s="529"/>
      <c r="G226" s="528"/>
      <c r="H226" s="527"/>
      <c r="I226" s="526"/>
      <c r="J226" s="526"/>
      <c r="K226" s="525"/>
      <c r="L226" s="525"/>
      <c r="M226" s="525"/>
      <c r="N226" s="525"/>
      <c r="O226" s="525"/>
      <c r="P226" s="525"/>
    </row>
    <row r="227" spans="1:16" ht="18.75" x14ac:dyDescent="0.25">
      <c r="A227" s="532"/>
      <c r="B227" s="430"/>
      <c r="C227" s="430"/>
      <c r="D227" s="293" t="s">
        <v>95</v>
      </c>
      <c r="E227" s="420"/>
      <c r="F227" s="420"/>
      <c r="G227" s="527"/>
      <c r="H227" s="527"/>
      <c r="I227" s="427"/>
      <c r="J227" s="427"/>
      <c r="K227" s="525"/>
      <c r="L227" s="525"/>
      <c r="M227" s="525"/>
      <c r="N227" s="525"/>
      <c r="O227" s="525"/>
      <c r="P227" s="525"/>
    </row>
    <row r="228" spans="1:16" ht="18.75" x14ac:dyDescent="0.25">
      <c r="A228" s="532"/>
      <c r="B228" s="430"/>
      <c r="C228" s="430"/>
      <c r="D228" s="430"/>
      <c r="E228" s="567" t="s">
        <v>96</v>
      </c>
      <c r="F228" s="420"/>
      <c r="G228" s="527"/>
      <c r="H228" s="566" t="s">
        <v>93</v>
      </c>
      <c r="I228" s="424">
        <f ca="1">IFERROR(__xludf.DUMMYFUNCTION("IMPORTRANGE(""https://docs.google.com/spreadsheets/d/1eHaY18a8A9IcSdp1K8H6x8fbOy06t2VsZHhMHf-1x7Y/edit?usp=sharing"",""แผน!AV30"")"),50000)</f>
        <v>50000</v>
      </c>
      <c r="J228" s="595">
        <v>0</v>
      </c>
      <c r="K228" s="621">
        <f ca="1">IF(I228&gt;0,J228*100/I228,0)</f>
        <v>0</v>
      </c>
      <c r="L228" s="525"/>
      <c r="M228" s="525"/>
      <c r="N228" s="525"/>
      <c r="O228" s="525"/>
      <c r="P228" s="525"/>
    </row>
    <row r="229" spans="1:16" ht="18.75" x14ac:dyDescent="0.25">
      <c r="A229" s="532"/>
      <c r="B229" s="430"/>
      <c r="C229" s="430"/>
      <c r="D229" s="430"/>
      <c r="E229" s="567" t="s">
        <v>97</v>
      </c>
      <c r="F229" s="420"/>
      <c r="G229" s="527"/>
      <c r="H229" s="566" t="s">
        <v>93</v>
      </c>
      <c r="I229" s="424">
        <f ca="1">IFERROR(__xludf.DUMMYFUNCTION("IMPORTRANGE(""https://docs.google.com/spreadsheets/d/1eHaY18a8A9IcSdp1K8H6x8fbOy06t2VsZHhMHf-1x7Y/edit?usp=sharing"",""แผน!AV30"")"),50000)</f>
        <v>50000</v>
      </c>
      <c r="J229" s="595">
        <v>0</v>
      </c>
      <c r="K229" s="621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2"/>
      <c r="B230" s="430"/>
      <c r="C230" s="430"/>
      <c r="D230" s="293" t="s">
        <v>98</v>
      </c>
      <c r="E230" s="420"/>
      <c r="F230" s="420"/>
      <c r="G230" s="527"/>
      <c r="H230" s="566" t="s">
        <v>33</v>
      </c>
      <c r="I230" s="424">
        <f ca="1">IFERROR(__xludf.DUMMYFUNCTION("IMPORTRANGE(""https://docs.google.com/spreadsheets/d/1eHaY18a8A9IcSdp1K8H6x8fbOy06t2VsZHhMHf-1x7Y/edit?usp=sharing"",""แผน!AU30"")"),0)</f>
        <v>0</v>
      </c>
      <c r="J230" s="595">
        <v>0</v>
      </c>
      <c r="K230" s="621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2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71"/>
      <c r="M231" s="571"/>
      <c r="N231" s="571"/>
      <c r="O231" s="571"/>
      <c r="P231" s="571"/>
    </row>
    <row r="232" spans="1:16" ht="19.5" hidden="1" x14ac:dyDescent="0.3">
      <c r="A232" s="535"/>
      <c r="B232" s="418"/>
      <c r="C232" s="570" t="s">
        <v>16</v>
      </c>
      <c r="D232" s="579" t="s">
        <v>17</v>
      </c>
      <c r="E232" s="418"/>
      <c r="F232" s="418"/>
      <c r="G232" s="422"/>
      <c r="H232" s="681" t="s">
        <v>12</v>
      </c>
      <c r="I232" s="526"/>
      <c r="J232" s="526"/>
      <c r="K232" s="525"/>
      <c r="L232" s="577">
        <f ca="1">L243+L254</f>
        <v>0</v>
      </c>
      <c r="M232" s="428"/>
      <c r="N232" s="577">
        <f>N243+N254</f>
        <v>0</v>
      </c>
      <c r="O232" s="428"/>
      <c r="P232" s="428"/>
    </row>
    <row r="233" spans="1:16" ht="18.75" hidden="1" x14ac:dyDescent="0.25">
      <c r="A233" s="535"/>
      <c r="B233" s="419"/>
      <c r="C233" s="418"/>
      <c r="D233" s="293" t="s">
        <v>80</v>
      </c>
      <c r="E233" s="418"/>
      <c r="F233" s="418"/>
      <c r="G233" s="422"/>
      <c r="H233" s="576" t="s">
        <v>12</v>
      </c>
      <c r="I233" s="526"/>
      <c r="J233" s="526"/>
      <c r="K233" s="525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76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76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76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2"/>
      <c r="B237" s="430"/>
      <c r="C237" s="680" t="s">
        <v>16</v>
      </c>
      <c r="D237" s="569" t="s">
        <v>36</v>
      </c>
      <c r="E237" s="529"/>
      <c r="F237" s="529"/>
      <c r="G237" s="528"/>
      <c r="H237" s="527"/>
      <c r="I237" s="526"/>
      <c r="J237" s="427"/>
      <c r="K237" s="428"/>
      <c r="L237" s="428"/>
      <c r="M237" s="428"/>
      <c r="N237" s="428"/>
      <c r="O237" s="525"/>
      <c r="P237" s="525"/>
    </row>
    <row r="238" spans="1:16" ht="18.75" hidden="1" x14ac:dyDescent="0.25">
      <c r="A238" s="532"/>
      <c r="B238" s="430"/>
      <c r="C238" s="430"/>
      <c r="D238" s="421" t="s">
        <v>102</v>
      </c>
      <c r="E238" s="420"/>
      <c r="F238" s="420"/>
      <c r="G238" s="527"/>
      <c r="H238" s="566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2"/>
      <c r="B239" s="430"/>
      <c r="C239" s="430"/>
      <c r="D239" s="679" t="s">
        <v>41</v>
      </c>
      <c r="E239" s="420"/>
      <c r="F239" s="420"/>
      <c r="G239" s="527"/>
      <c r="H239" s="527"/>
      <c r="I239" s="427"/>
      <c r="J239" s="427"/>
      <c r="K239" s="428"/>
      <c r="L239" s="428"/>
      <c r="M239" s="428"/>
      <c r="N239" s="428"/>
      <c r="O239" s="525"/>
      <c r="P239" s="525"/>
    </row>
    <row r="240" spans="1:16" ht="18.75" hidden="1" x14ac:dyDescent="0.25">
      <c r="A240" s="532"/>
      <c r="B240" s="430"/>
      <c r="C240" s="430"/>
      <c r="D240" s="430"/>
      <c r="E240" s="567" t="s">
        <v>103</v>
      </c>
      <c r="F240" s="420"/>
      <c r="G240" s="527"/>
      <c r="H240" s="566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2"/>
      <c r="B241" s="430"/>
      <c r="C241" s="430"/>
      <c r="D241" s="430"/>
      <c r="E241" s="567" t="s">
        <v>104</v>
      </c>
      <c r="F241" s="420"/>
      <c r="G241" s="527"/>
      <c r="H241" s="566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78" t="s">
        <v>105</v>
      </c>
      <c r="D242" s="433"/>
      <c r="E242" s="433"/>
      <c r="F242" s="433"/>
      <c r="G242" s="436"/>
      <c r="H242" s="677" t="s">
        <v>33</v>
      </c>
      <c r="I242" s="676">
        <f ca="1">I249</f>
        <v>0</v>
      </c>
      <c r="J242" s="676">
        <f>J249</f>
        <v>0</v>
      </c>
      <c r="K242" s="675">
        <f ca="1">IF(I242&gt;0,J242*100/I242,0)</f>
        <v>0</v>
      </c>
      <c r="L242" s="571"/>
      <c r="M242" s="571"/>
      <c r="N242" s="571"/>
      <c r="O242" s="571"/>
      <c r="P242" s="571"/>
    </row>
    <row r="243" spans="1:16" ht="19.5" hidden="1" x14ac:dyDescent="0.3">
      <c r="A243" s="535"/>
      <c r="B243" s="418"/>
      <c r="C243" s="531" t="s">
        <v>16</v>
      </c>
      <c r="D243" s="541" t="s">
        <v>17</v>
      </c>
      <c r="E243" s="418"/>
      <c r="F243" s="418"/>
      <c r="G243" s="422"/>
      <c r="H243" s="673" t="s">
        <v>12</v>
      </c>
      <c r="I243" s="526"/>
      <c r="J243" s="526"/>
      <c r="K243" s="525"/>
      <c r="L243" s="539">
        <f ca="1">L244+L245+L246+L247</f>
        <v>0</v>
      </c>
      <c r="M243" s="428"/>
      <c r="N243" s="539">
        <f>N244+N245+N246+N247</f>
        <v>0</v>
      </c>
      <c r="O243" s="539">
        <f ca="1">IF(L243&gt;0,N243*100/L243,0)</f>
        <v>0</v>
      </c>
      <c r="P243" s="539">
        <f>IF(M243&gt;0,N243*100/M243,0)</f>
        <v>0</v>
      </c>
    </row>
    <row r="244" spans="1:16" ht="18.75" hidden="1" x14ac:dyDescent="0.25">
      <c r="A244" s="535"/>
      <c r="B244" s="419"/>
      <c r="C244" s="418"/>
      <c r="D244" s="534" t="s">
        <v>80</v>
      </c>
      <c r="E244" s="418"/>
      <c r="F244" s="418"/>
      <c r="G244" s="422"/>
      <c r="H244" s="536" t="s">
        <v>12</v>
      </c>
      <c r="I244" s="526"/>
      <c r="J244" s="526"/>
      <c r="K244" s="525"/>
      <c r="L244" s="521">
        <f ca="1">IFERROR(__xludf.DUMMYFUNCTION("IMPORTRANGE(""https://docs.google.com/spreadsheets/d/1eHaY18a8A9IcSdp1K8H6x8fbOy06t2VsZHhMHf-1x7Y/edit?usp=sharing"",""แผน!AX30"")"),0)</f>
        <v>0</v>
      </c>
      <c r="M244" s="428"/>
      <c r="N244" s="672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34" t="s">
        <v>82</v>
      </c>
      <c r="E245" s="418"/>
      <c r="F245" s="418"/>
      <c r="G245" s="422"/>
      <c r="H245" s="536" t="s">
        <v>12</v>
      </c>
      <c r="I245" s="427"/>
      <c r="J245" s="427"/>
      <c r="K245" s="428"/>
      <c r="L245" s="521">
        <f ca="1">IFERROR(__xludf.DUMMYFUNCTION("IMPORTRANGE(""https://docs.google.com/spreadsheets/d/1eHaY18a8A9IcSdp1K8H6x8fbOy06t2VsZHhMHf-1x7Y/edit?usp=sharing"",""แผน!AY30"")"),0)</f>
        <v>0</v>
      </c>
      <c r="M245" s="428"/>
      <c r="N245" s="672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34" t="s">
        <v>100</v>
      </c>
      <c r="E246" s="418"/>
      <c r="F246" s="418"/>
      <c r="G246" s="422"/>
      <c r="H246" s="536" t="s">
        <v>12</v>
      </c>
      <c r="I246" s="427"/>
      <c r="J246" s="427"/>
      <c r="K246" s="428"/>
      <c r="L246" s="521">
        <f ca="1">IFERROR(__xludf.DUMMYFUNCTION("IMPORTRANGE(""https://docs.google.com/spreadsheets/d/1eHaY18a8A9IcSdp1K8H6x8fbOy06t2VsZHhMHf-1x7Y/edit?usp=sharing"",""แผน!AZ30"")"),0)</f>
        <v>0</v>
      </c>
      <c r="M246" s="428"/>
      <c r="N246" s="672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34" t="s">
        <v>101</v>
      </c>
      <c r="E247" s="418"/>
      <c r="F247" s="418"/>
      <c r="G247" s="422"/>
      <c r="H247" s="536" t="s">
        <v>12</v>
      </c>
      <c r="I247" s="427"/>
      <c r="J247" s="427"/>
      <c r="K247" s="428"/>
      <c r="L247" s="521">
        <f ca="1">IFERROR(__xludf.DUMMYFUNCTION("IMPORTRANGE(""https://docs.google.com/spreadsheets/d/1eHaY18a8A9IcSdp1K8H6x8fbOy06t2VsZHhMHf-1x7Y/edit?usp=sharing"",""แผน!BA30"")"),0)</f>
        <v>0</v>
      </c>
      <c r="M247" s="428"/>
      <c r="N247" s="672">
        <v>0</v>
      </c>
      <c r="O247" s="428"/>
      <c r="P247" s="428"/>
    </row>
    <row r="248" spans="1:16" ht="19.5" hidden="1" x14ac:dyDescent="0.3">
      <c r="A248" s="532"/>
      <c r="B248" s="430"/>
      <c r="C248" s="671" t="s">
        <v>16</v>
      </c>
      <c r="D248" s="530" t="s">
        <v>36</v>
      </c>
      <c r="E248" s="529"/>
      <c r="F248" s="529"/>
      <c r="G248" s="528"/>
      <c r="H248" s="527"/>
      <c r="I248" s="526"/>
      <c r="J248" s="427"/>
      <c r="K248" s="428"/>
      <c r="L248" s="428"/>
      <c r="M248" s="428"/>
      <c r="N248" s="428"/>
      <c r="O248" s="525"/>
      <c r="P248" s="525"/>
    </row>
    <row r="249" spans="1:16" ht="18.75" hidden="1" x14ac:dyDescent="0.25">
      <c r="A249" s="532"/>
      <c r="B249" s="430"/>
      <c r="C249" s="430"/>
      <c r="D249" s="524" t="s">
        <v>102</v>
      </c>
      <c r="E249" s="420"/>
      <c r="F249" s="420"/>
      <c r="G249" s="527"/>
      <c r="H249" s="668" t="s">
        <v>33</v>
      </c>
      <c r="I249" s="199">
        <f ca="1">IFERROR(__xludf.DUMMYFUNCTION("IMPORTRANGE(""https://docs.google.com/spreadsheets/d/1eHaY18a8A9IcSdp1K8H6x8fbOy06t2VsZHhMHf-1x7Y/edit?usp=sharing"",""แผน!BG30"")"),0)</f>
        <v>0</v>
      </c>
      <c r="J249" s="522">
        <v>0</v>
      </c>
      <c r="K249" s="521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2"/>
      <c r="B250" s="430"/>
      <c r="C250" s="430"/>
      <c r="D250" s="670" t="s">
        <v>41</v>
      </c>
      <c r="E250" s="420"/>
      <c r="F250" s="420"/>
      <c r="G250" s="527"/>
      <c r="H250" s="527"/>
      <c r="I250" s="427"/>
      <c r="J250" s="427"/>
      <c r="K250" s="428"/>
      <c r="L250" s="428"/>
      <c r="M250" s="428"/>
      <c r="N250" s="428"/>
      <c r="O250" s="525"/>
      <c r="P250" s="525"/>
    </row>
    <row r="251" spans="1:16" ht="18.75" hidden="1" x14ac:dyDescent="0.25">
      <c r="A251" s="532"/>
      <c r="B251" s="430"/>
      <c r="C251" s="430"/>
      <c r="D251" s="430"/>
      <c r="E251" s="669" t="s">
        <v>103</v>
      </c>
      <c r="F251" s="420"/>
      <c r="G251" s="527"/>
      <c r="H251" s="668" t="s">
        <v>33</v>
      </c>
      <c r="I251" s="199">
        <v>0</v>
      </c>
      <c r="J251" s="522">
        <v>0</v>
      </c>
      <c r="K251" s="521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2"/>
      <c r="B252" s="430"/>
      <c r="C252" s="430"/>
      <c r="D252" s="430"/>
      <c r="E252" s="669" t="s">
        <v>104</v>
      </c>
      <c r="F252" s="420"/>
      <c r="G252" s="527"/>
      <c r="H252" s="668" t="s">
        <v>54</v>
      </c>
      <c r="I252" s="199">
        <v>0</v>
      </c>
      <c r="J252" s="522">
        <v>0</v>
      </c>
      <c r="K252" s="521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78" t="s">
        <v>106</v>
      </c>
      <c r="D253" s="433"/>
      <c r="E253" s="433"/>
      <c r="F253" s="433"/>
      <c r="G253" s="436"/>
      <c r="H253" s="677" t="s">
        <v>33</v>
      </c>
      <c r="I253" s="676">
        <f ca="1">I260</f>
        <v>0</v>
      </c>
      <c r="J253" s="676">
        <f>J260</f>
        <v>0</v>
      </c>
      <c r="K253" s="675">
        <f ca="1">IF(I253&gt;0,J253*100/I253,0)</f>
        <v>0</v>
      </c>
      <c r="L253" s="571"/>
      <c r="M253" s="571"/>
      <c r="N253" s="571"/>
      <c r="O253" s="571"/>
      <c r="P253" s="571"/>
    </row>
    <row r="254" spans="1:16" ht="19.5" hidden="1" x14ac:dyDescent="0.3">
      <c r="A254" s="535"/>
      <c r="B254" s="418"/>
      <c r="C254" s="531" t="s">
        <v>16</v>
      </c>
      <c r="D254" s="674" t="s">
        <v>17</v>
      </c>
      <c r="E254" s="418"/>
      <c r="F254" s="418"/>
      <c r="G254" s="422"/>
      <c r="H254" s="673" t="s">
        <v>12</v>
      </c>
      <c r="I254" s="526"/>
      <c r="J254" s="526"/>
      <c r="K254" s="525"/>
      <c r="L254" s="539">
        <f ca="1">L255+L256+L257+L258</f>
        <v>0</v>
      </c>
      <c r="M254" s="428"/>
      <c r="N254" s="539">
        <f>N255+N256+N257+N258</f>
        <v>0</v>
      </c>
      <c r="O254" s="539">
        <f ca="1">IF(L254&gt;0,N254*100/L254,0)</f>
        <v>0</v>
      </c>
      <c r="P254" s="539">
        <f>IF(M254&gt;0,N254*100/M254,0)</f>
        <v>0</v>
      </c>
    </row>
    <row r="255" spans="1:16" ht="18.75" hidden="1" x14ac:dyDescent="0.25">
      <c r="A255" s="535"/>
      <c r="B255" s="419"/>
      <c r="C255" s="418"/>
      <c r="D255" s="534" t="s">
        <v>80</v>
      </c>
      <c r="E255" s="418"/>
      <c r="F255" s="418"/>
      <c r="G255" s="422"/>
      <c r="H255" s="536" t="s">
        <v>12</v>
      </c>
      <c r="I255" s="526"/>
      <c r="J255" s="526"/>
      <c r="K255" s="525"/>
      <c r="L255" s="521">
        <f ca="1">IFERROR(__xludf.DUMMYFUNCTION("IMPORTRANGE(""https://docs.google.com/spreadsheets/d/1eHaY18a8A9IcSdp1K8H6x8fbOy06t2VsZHhMHf-1x7Y/edit?usp=sharing"",""แผน!BB30"")"),0)</f>
        <v>0</v>
      </c>
      <c r="M255" s="428"/>
      <c r="N255" s="672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34" t="s">
        <v>82</v>
      </c>
      <c r="E256" s="418"/>
      <c r="F256" s="418"/>
      <c r="G256" s="422"/>
      <c r="H256" s="536" t="s">
        <v>12</v>
      </c>
      <c r="I256" s="427"/>
      <c r="J256" s="427"/>
      <c r="K256" s="428"/>
      <c r="L256" s="521">
        <f ca="1">IFERROR(__xludf.DUMMYFUNCTION("IMPORTRANGE(""https://docs.google.com/spreadsheets/d/1eHaY18a8A9IcSdp1K8H6x8fbOy06t2VsZHhMHf-1x7Y/edit?usp=sharing"",""แผน!BC30"")"),0)</f>
        <v>0</v>
      </c>
      <c r="M256" s="428"/>
      <c r="N256" s="672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34" t="s">
        <v>100</v>
      </c>
      <c r="E257" s="418"/>
      <c r="F257" s="418"/>
      <c r="G257" s="422"/>
      <c r="H257" s="536" t="s">
        <v>12</v>
      </c>
      <c r="I257" s="427"/>
      <c r="J257" s="427"/>
      <c r="K257" s="428"/>
      <c r="L257" s="521">
        <f ca="1">IFERROR(__xludf.DUMMYFUNCTION("IMPORTRANGE(""https://docs.google.com/spreadsheets/d/1eHaY18a8A9IcSdp1K8H6x8fbOy06t2VsZHhMHf-1x7Y/edit?usp=sharing"",""แผน!BD30"")"),0)</f>
        <v>0</v>
      </c>
      <c r="M257" s="428"/>
      <c r="N257" s="672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34" t="s">
        <v>101</v>
      </c>
      <c r="E258" s="418"/>
      <c r="F258" s="418"/>
      <c r="G258" s="422"/>
      <c r="H258" s="536" t="s">
        <v>12</v>
      </c>
      <c r="I258" s="427"/>
      <c r="J258" s="427"/>
      <c r="K258" s="428"/>
      <c r="L258" s="521">
        <f ca="1">IFERROR(__xludf.DUMMYFUNCTION("IMPORTRANGE(""https://docs.google.com/spreadsheets/d/1eHaY18a8A9IcSdp1K8H6x8fbOy06t2VsZHhMHf-1x7Y/edit?usp=sharing"",""แผน!BE30"")"),0)</f>
        <v>0</v>
      </c>
      <c r="M258" s="428"/>
      <c r="N258" s="672">
        <v>0</v>
      </c>
      <c r="O258" s="428"/>
      <c r="P258" s="428"/>
    </row>
    <row r="259" spans="1:16" ht="19.5" hidden="1" x14ac:dyDescent="0.3">
      <c r="A259" s="532"/>
      <c r="B259" s="430"/>
      <c r="C259" s="671" t="s">
        <v>16</v>
      </c>
      <c r="D259" s="530" t="s">
        <v>36</v>
      </c>
      <c r="E259" s="529"/>
      <c r="F259" s="529"/>
      <c r="G259" s="528"/>
      <c r="H259" s="527"/>
      <c r="I259" s="526"/>
      <c r="J259" s="427"/>
      <c r="K259" s="428"/>
      <c r="L259" s="428"/>
      <c r="M259" s="428"/>
      <c r="N259" s="428"/>
      <c r="O259" s="525"/>
      <c r="P259" s="525"/>
    </row>
    <row r="260" spans="1:16" ht="18.75" hidden="1" x14ac:dyDescent="0.25">
      <c r="A260" s="532"/>
      <c r="B260" s="430"/>
      <c r="C260" s="430"/>
      <c r="D260" s="524" t="s">
        <v>102</v>
      </c>
      <c r="E260" s="420"/>
      <c r="F260" s="420"/>
      <c r="G260" s="527"/>
      <c r="H260" s="668" t="s">
        <v>33</v>
      </c>
      <c r="I260" s="199">
        <f ca="1">IFERROR(__xludf.DUMMYFUNCTION("IMPORTRANGE(""https://docs.google.com/spreadsheets/d/1eHaY18a8A9IcSdp1K8H6x8fbOy06t2VsZHhMHf-1x7Y/edit?usp=sharing"",""แผน!BH30"")"),0)</f>
        <v>0</v>
      </c>
      <c r="J260" s="522">
        <v>0</v>
      </c>
      <c r="K260" s="521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2"/>
      <c r="B261" s="430"/>
      <c r="C261" s="430"/>
      <c r="D261" s="670" t="s">
        <v>41</v>
      </c>
      <c r="E261" s="420"/>
      <c r="F261" s="420"/>
      <c r="G261" s="527"/>
      <c r="H261" s="527"/>
      <c r="I261" s="427"/>
      <c r="J261" s="427"/>
      <c r="K261" s="428"/>
      <c r="L261" s="428"/>
      <c r="M261" s="428"/>
      <c r="N261" s="428"/>
      <c r="O261" s="525"/>
      <c r="P261" s="525"/>
    </row>
    <row r="262" spans="1:16" ht="18.75" hidden="1" x14ac:dyDescent="0.25">
      <c r="A262" s="532"/>
      <c r="B262" s="430"/>
      <c r="C262" s="430"/>
      <c r="D262" s="430"/>
      <c r="E262" s="669" t="s">
        <v>103</v>
      </c>
      <c r="F262" s="420"/>
      <c r="G262" s="527"/>
      <c r="H262" s="668" t="s">
        <v>33</v>
      </c>
      <c r="I262" s="427"/>
      <c r="J262" s="522">
        <v>0</v>
      </c>
      <c r="K262" s="521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2"/>
      <c r="B263" s="430"/>
      <c r="C263" s="430"/>
      <c r="D263" s="430"/>
      <c r="E263" s="669" t="s">
        <v>104</v>
      </c>
      <c r="F263" s="420"/>
      <c r="G263" s="527"/>
      <c r="H263" s="668" t="s">
        <v>54</v>
      </c>
      <c r="I263" s="427"/>
      <c r="J263" s="522">
        <v>0</v>
      </c>
      <c r="K263" s="521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67" t="s">
        <v>107</v>
      </c>
      <c r="B264" s="666"/>
      <c r="C264" s="666"/>
      <c r="D264" s="665"/>
      <c r="E264" s="665"/>
      <c r="F264" s="665"/>
      <c r="G264" s="664"/>
      <c r="H264" s="664"/>
      <c r="I264" s="663"/>
      <c r="J264" s="663"/>
      <c r="K264" s="662"/>
      <c r="L264" s="662"/>
      <c r="M264" s="662"/>
      <c r="N264" s="662"/>
      <c r="O264" s="662"/>
      <c r="P264" s="662"/>
    </row>
    <row r="265" spans="1:16" ht="19.5" hidden="1" x14ac:dyDescent="0.3">
      <c r="A265" s="661"/>
      <c r="B265" s="660" t="s">
        <v>108</v>
      </c>
      <c r="C265" s="659"/>
      <c r="D265" s="529"/>
      <c r="E265" s="529"/>
      <c r="F265" s="529"/>
      <c r="G265" s="528"/>
      <c r="H265" s="658" t="s">
        <v>33</v>
      </c>
      <c r="I265" s="657">
        <f>I276</f>
        <v>0</v>
      </c>
      <c r="J265" s="657">
        <f>J276</f>
        <v>0</v>
      </c>
      <c r="K265" s="656">
        <f>IF(I265&gt;0,J265*100/I265,0)</f>
        <v>0</v>
      </c>
      <c r="L265" s="655"/>
      <c r="M265" s="655"/>
      <c r="N265" s="655"/>
      <c r="O265" s="655"/>
      <c r="P265" s="655"/>
    </row>
    <row r="266" spans="1:16" ht="19.5" hidden="1" x14ac:dyDescent="0.3">
      <c r="A266" s="535"/>
      <c r="B266" s="418"/>
      <c r="C266" s="531" t="s">
        <v>16</v>
      </c>
      <c r="D266" s="541" t="s">
        <v>17</v>
      </c>
      <c r="E266" s="418"/>
      <c r="F266" s="418"/>
      <c r="G266" s="422"/>
      <c r="H266" s="540" t="s">
        <v>12</v>
      </c>
      <c r="I266" s="427"/>
      <c r="J266" s="427"/>
      <c r="K266" s="428"/>
      <c r="L266" s="539">
        <f ca="1">L267+L268</f>
        <v>0</v>
      </c>
      <c r="M266" s="539">
        <f ca="1">M267+M268</f>
        <v>0</v>
      </c>
      <c r="N266" s="539">
        <f ca="1">N267+N268</f>
        <v>0</v>
      </c>
      <c r="O266" s="539">
        <f ca="1">IF(L266&gt;0,N266*100/L266,0)</f>
        <v>0</v>
      </c>
      <c r="P266" s="539">
        <f ca="1">IF(M266&gt;0,N266*100/M266,0)</f>
        <v>0</v>
      </c>
    </row>
    <row r="267" spans="1:16" ht="18.75" hidden="1" x14ac:dyDescent="0.25">
      <c r="A267" s="535"/>
      <c r="B267" s="418"/>
      <c r="C267" s="418"/>
      <c r="D267" s="418"/>
      <c r="E267" s="534" t="s">
        <v>18</v>
      </c>
      <c r="F267" s="418"/>
      <c r="G267" s="422"/>
      <c r="H267" s="538" t="s">
        <v>12</v>
      </c>
      <c r="I267" s="427"/>
      <c r="J267" s="427"/>
      <c r="K267" s="428"/>
      <c r="L267" s="521">
        <f>L270+L273</f>
        <v>0</v>
      </c>
      <c r="M267" s="521">
        <f>M270+M273</f>
        <v>0</v>
      </c>
      <c r="N267" s="521">
        <f>N270+N273</f>
        <v>0</v>
      </c>
      <c r="O267" s="521">
        <f>IF(L267&gt;0,N267*100/L267,0)</f>
        <v>0</v>
      </c>
      <c r="P267" s="521">
        <f>IF(M267&gt;0,N267*100/M267,0)</f>
        <v>0</v>
      </c>
    </row>
    <row r="268" spans="1:16" ht="18.75" hidden="1" x14ac:dyDescent="0.25">
      <c r="A268" s="535"/>
      <c r="B268" s="418"/>
      <c r="C268" s="418"/>
      <c r="D268" s="418"/>
      <c r="E268" s="534" t="s">
        <v>19</v>
      </c>
      <c r="F268" s="418"/>
      <c r="G268" s="422"/>
      <c r="H268" s="538" t="s">
        <v>12</v>
      </c>
      <c r="I268" s="427"/>
      <c r="J268" s="427"/>
      <c r="K268" s="428"/>
      <c r="L268" s="521">
        <f ca="1">L271+L274</f>
        <v>0</v>
      </c>
      <c r="M268" s="521">
        <f ca="1">M271+M274</f>
        <v>0</v>
      </c>
      <c r="N268" s="521">
        <f ca="1">N271+N274</f>
        <v>0</v>
      </c>
      <c r="O268" s="521">
        <f ca="1">IF(L268&gt;0,N268*100/L268,0)</f>
        <v>0</v>
      </c>
      <c r="P268" s="521">
        <f ca="1">IF(M268&gt;0,N268*100/M268,0)</f>
        <v>0</v>
      </c>
    </row>
    <row r="269" spans="1:16" ht="18.75" hidden="1" x14ac:dyDescent="0.25">
      <c r="A269" s="535"/>
      <c r="B269" s="418"/>
      <c r="C269" s="418"/>
      <c r="D269" s="537" t="s">
        <v>20</v>
      </c>
      <c r="E269" s="418"/>
      <c r="F269" s="418"/>
      <c r="G269" s="422"/>
      <c r="H269" s="536" t="s">
        <v>12</v>
      </c>
      <c r="I269" s="526"/>
      <c r="J269" s="526"/>
      <c r="K269" s="525"/>
      <c r="L269" s="521">
        <f ca="1">L270+L271</f>
        <v>0</v>
      </c>
      <c r="M269" s="521">
        <f ca="1">M270+M271</f>
        <v>0</v>
      </c>
      <c r="N269" s="521">
        <f ca="1">N270+N271</f>
        <v>0</v>
      </c>
      <c r="O269" s="521">
        <f ca="1">IF(L269&gt;0,N269*100/L269,0)</f>
        <v>0</v>
      </c>
      <c r="P269" s="521">
        <f ca="1">IF(M269&gt;0,N269*100/M269,0)</f>
        <v>0</v>
      </c>
    </row>
    <row r="270" spans="1:16" ht="18.75" hidden="1" x14ac:dyDescent="0.25">
      <c r="A270" s="535"/>
      <c r="B270" s="418"/>
      <c r="C270" s="418"/>
      <c r="D270" s="418"/>
      <c r="E270" s="534" t="s">
        <v>34</v>
      </c>
      <c r="F270" s="418"/>
      <c r="G270" s="422"/>
      <c r="H270" s="536" t="s">
        <v>12</v>
      </c>
      <c r="I270" s="526"/>
      <c r="J270" s="526"/>
      <c r="K270" s="525"/>
      <c r="L270" s="521">
        <v>0</v>
      </c>
      <c r="M270" s="521">
        <v>0</v>
      </c>
      <c r="N270" s="521">
        <v>0</v>
      </c>
      <c r="O270" s="521">
        <f>IF(L270&gt;0,N270*100/L270,0)</f>
        <v>0</v>
      </c>
      <c r="P270" s="521">
        <f>IF(M270&gt;0,N270*100/M270,0)</f>
        <v>0</v>
      </c>
    </row>
    <row r="271" spans="1:16" ht="18.75" hidden="1" x14ac:dyDescent="0.25">
      <c r="A271" s="535"/>
      <c r="B271" s="418"/>
      <c r="C271" s="418"/>
      <c r="D271" s="418"/>
      <c r="E271" s="534" t="s">
        <v>35</v>
      </c>
      <c r="F271" s="418"/>
      <c r="G271" s="422"/>
      <c r="H271" s="536" t="s">
        <v>12</v>
      </c>
      <c r="I271" s="526"/>
      <c r="J271" s="526"/>
      <c r="K271" s="525"/>
      <c r="L271" s="521">
        <f ca="1">IFERROR(__xludf.DUMMYFUNCTION("IMPORTRANGE(""https://docs.google.com/spreadsheets/d/1-uDff_7J0KD5mKrp0Vvzr7lt3OU09vwQwhkpOPPYv2Y/edit?usp=sharing"",""งบพรบ!DE30"")"),0)</f>
        <v>0</v>
      </c>
      <c r="M271" s="521">
        <f ca="1">IFERROR(__xludf.DUMMYFUNCTION("IMPORTRANGE(""https://docs.google.com/spreadsheets/d/1-uDff_7J0KD5mKrp0Vvzr7lt3OU09vwQwhkpOPPYv2Y/edit?usp=sharing"",""งบพรบ!DJ30"")"),0)</f>
        <v>0</v>
      </c>
      <c r="N271" s="521">
        <f ca="1">IFERROR(__xludf.DUMMYFUNCTION("IMPORTRANGE(""https://docs.google.com/spreadsheets/d/1-uDff_7J0KD5mKrp0Vvzr7lt3OU09vwQwhkpOPPYv2Y/edit?usp=sharing"",""งบพรบ!DL30"")"),0)</f>
        <v>0</v>
      </c>
      <c r="O271" s="521">
        <f ca="1">IF(L271&gt;0,N271*100/L271,0)</f>
        <v>0</v>
      </c>
      <c r="P271" s="521">
        <f ca="1">IF(M271&gt;0,N271*100/M271,0)</f>
        <v>0</v>
      </c>
    </row>
    <row r="272" spans="1:16" ht="18.75" hidden="1" x14ac:dyDescent="0.25">
      <c r="A272" s="535"/>
      <c r="B272" s="418"/>
      <c r="C272" s="418"/>
      <c r="D272" s="537" t="s">
        <v>21</v>
      </c>
      <c r="E272" s="418"/>
      <c r="F272" s="418"/>
      <c r="G272" s="422"/>
      <c r="H272" s="533" t="s">
        <v>12</v>
      </c>
      <c r="I272" s="526"/>
      <c r="J272" s="526"/>
      <c r="K272" s="525"/>
      <c r="L272" s="521">
        <f ca="1">L273+L274</f>
        <v>0</v>
      </c>
      <c r="M272" s="521">
        <f ca="1">M273+M274</f>
        <v>0</v>
      </c>
      <c r="N272" s="521">
        <f ca="1">N273+N274</f>
        <v>0</v>
      </c>
      <c r="O272" s="521">
        <f ca="1">IF(L272&gt;0,N272*100/L272,0)</f>
        <v>0</v>
      </c>
      <c r="P272" s="521">
        <f ca="1">IF(M272&gt;0,N272*100/M272,0)</f>
        <v>0</v>
      </c>
    </row>
    <row r="273" spans="1:16" ht="18.75" hidden="1" x14ac:dyDescent="0.25">
      <c r="A273" s="535"/>
      <c r="B273" s="418"/>
      <c r="C273" s="418"/>
      <c r="D273" s="418"/>
      <c r="E273" s="534" t="s">
        <v>18</v>
      </c>
      <c r="F273" s="418"/>
      <c r="G273" s="422"/>
      <c r="H273" s="536" t="s">
        <v>12</v>
      </c>
      <c r="I273" s="526"/>
      <c r="J273" s="526"/>
      <c r="K273" s="525"/>
      <c r="L273" s="521">
        <v>0</v>
      </c>
      <c r="M273" s="521">
        <v>0</v>
      </c>
      <c r="N273" s="521">
        <v>0</v>
      </c>
      <c r="O273" s="521">
        <f>IF(L273&gt;0,N273*100/L273,0)</f>
        <v>0</v>
      </c>
      <c r="P273" s="521">
        <f>IF(M273&gt;0,N273*100/M273,0)</f>
        <v>0</v>
      </c>
    </row>
    <row r="274" spans="1:16" ht="18.75" hidden="1" x14ac:dyDescent="0.25">
      <c r="A274" s="535"/>
      <c r="B274" s="418"/>
      <c r="C274" s="418"/>
      <c r="D274" s="418"/>
      <c r="E274" s="534" t="s">
        <v>19</v>
      </c>
      <c r="F274" s="418"/>
      <c r="G274" s="422"/>
      <c r="H274" s="533" t="s">
        <v>12</v>
      </c>
      <c r="I274" s="526"/>
      <c r="J274" s="526"/>
      <c r="K274" s="525"/>
      <c r="L274" s="521">
        <f ca="1">IFERROR(__xludf.DUMMYFUNCTION("IMPORTRANGE(""https://docs.google.com/spreadsheets/d/1-uDff_7J0KD5mKrp0Vvzr7lt3OU09vwQwhkpOPPYv2Y/edit?usp=sharing"",""งบพรบ!DH30"")"),0)</f>
        <v>0</v>
      </c>
      <c r="M274" s="521">
        <f ca="1">IFERROR(__xludf.DUMMYFUNCTION("IMPORTRANGE(""https://docs.google.com/spreadsheets/d/1-uDff_7J0KD5mKrp0Vvzr7lt3OU09vwQwhkpOPPYv2Y/edit?usp=sharing"",""งบพรบ!DK30"")"),0)</f>
        <v>0</v>
      </c>
      <c r="N274" s="521">
        <f ca="1">IFERROR(__xludf.DUMMYFUNCTION("IMPORTRANGE(""https://docs.google.com/spreadsheets/d/1-uDff_7J0KD5mKrp0Vvzr7lt3OU09vwQwhkpOPPYv2Y/edit?usp=sharing"",""งบพรบ!DM30"")"),0)</f>
        <v>0</v>
      </c>
      <c r="O274" s="521">
        <f ca="1">IF(L274&gt;0,N274*100/L274,0)</f>
        <v>0</v>
      </c>
      <c r="P274" s="521">
        <f ca="1">IF(M274&gt;0,N274*100/M274,0)</f>
        <v>0</v>
      </c>
    </row>
    <row r="275" spans="1:16" ht="19.5" hidden="1" x14ac:dyDescent="0.3">
      <c r="A275" s="532"/>
      <c r="B275" s="430"/>
      <c r="C275" s="534" t="s">
        <v>16</v>
      </c>
      <c r="D275" s="530" t="s">
        <v>36</v>
      </c>
      <c r="E275" s="529"/>
      <c r="F275" s="529"/>
      <c r="G275" s="528"/>
      <c r="H275" s="527"/>
      <c r="I275" s="526"/>
      <c r="J275" s="526"/>
      <c r="K275" s="525"/>
      <c r="L275" s="525"/>
      <c r="M275" s="525"/>
      <c r="N275" s="525"/>
      <c r="O275" s="525"/>
      <c r="P275" s="525"/>
    </row>
    <row r="276" spans="1:16" ht="12.75" hidden="1" x14ac:dyDescent="0.2">
      <c r="A276" s="620"/>
      <c r="B276" s="619"/>
      <c r="C276" s="619"/>
      <c r="D276" s="618"/>
      <c r="E276" s="618"/>
      <c r="F276" s="618"/>
      <c r="G276" s="617"/>
      <c r="H276" s="617"/>
      <c r="I276" s="616"/>
      <c r="J276" s="616"/>
      <c r="K276" s="615"/>
      <c r="L276" s="615"/>
      <c r="M276" s="615"/>
      <c r="N276" s="615"/>
      <c r="O276" s="615"/>
      <c r="P276" s="615"/>
    </row>
    <row r="277" spans="1:16" ht="18.75" hidden="1" x14ac:dyDescent="0.25">
      <c r="A277" s="654"/>
      <c r="B277" s="517"/>
      <c r="C277" s="517"/>
      <c r="D277" s="653" t="s">
        <v>109</v>
      </c>
      <c r="E277" s="652"/>
      <c r="F277" s="652"/>
      <c r="G277" s="651"/>
      <c r="H277" s="650" t="s">
        <v>33</v>
      </c>
      <c r="I277" s="513">
        <v>0</v>
      </c>
      <c r="J277" s="513">
        <v>0</v>
      </c>
      <c r="K277" s="649">
        <v>0</v>
      </c>
      <c r="L277" s="648"/>
      <c r="M277" s="648"/>
      <c r="N277" s="648"/>
      <c r="O277" s="648"/>
      <c r="P277" s="648"/>
    </row>
    <row r="278" spans="1:16" ht="19.5" x14ac:dyDescent="0.3">
      <c r="A278" s="647" t="s">
        <v>110</v>
      </c>
      <c r="B278" s="646"/>
      <c r="C278" s="646"/>
      <c r="D278" s="646"/>
      <c r="E278" s="645"/>
      <c r="F278" s="645"/>
      <c r="G278" s="645"/>
      <c r="H278" s="645"/>
      <c r="I278" s="644"/>
      <c r="J278" s="644"/>
      <c r="K278" s="643"/>
      <c r="L278" s="643"/>
      <c r="M278" s="643"/>
      <c r="N278" s="643"/>
      <c r="O278" s="643"/>
      <c r="P278" s="642"/>
    </row>
    <row r="279" spans="1:16" ht="19.5" x14ac:dyDescent="0.3">
      <c r="A279" s="641" t="s">
        <v>111</v>
      </c>
      <c r="B279" s="639"/>
      <c r="C279" s="640"/>
      <c r="D279" s="639"/>
      <c r="E279" s="639"/>
      <c r="F279" s="639"/>
      <c r="G279" s="639"/>
      <c r="H279" s="639"/>
      <c r="I279" s="638"/>
      <c r="J279" s="637"/>
      <c r="K279" s="636"/>
      <c r="L279" s="636"/>
      <c r="M279" s="636"/>
      <c r="N279" s="636"/>
      <c r="O279" s="636"/>
      <c r="P279" s="636"/>
    </row>
    <row r="280" spans="1:16" ht="19.5" x14ac:dyDescent="0.3">
      <c r="A280" s="634"/>
      <c r="B280" s="635" t="s">
        <v>112</v>
      </c>
      <c r="C280" s="632"/>
      <c r="D280" s="633"/>
      <c r="E280" s="632"/>
      <c r="F280" s="632"/>
      <c r="G280" s="631"/>
      <c r="H280" s="630" t="s">
        <v>33</v>
      </c>
      <c r="I280" s="629">
        <f ca="1">I293</f>
        <v>30</v>
      </c>
      <c r="J280" s="629">
        <f>J293</f>
        <v>30</v>
      </c>
      <c r="K280" s="628">
        <f ca="1">IF(I280&gt;0,J280*100/I280,0)</f>
        <v>100</v>
      </c>
      <c r="L280" s="627"/>
      <c r="M280" s="627"/>
      <c r="N280" s="627"/>
      <c r="O280" s="627"/>
      <c r="P280" s="627"/>
    </row>
    <row r="281" spans="1:16" ht="19.5" x14ac:dyDescent="0.3">
      <c r="A281" s="634"/>
      <c r="B281" s="632"/>
      <c r="C281" s="632"/>
      <c r="D281" s="633"/>
      <c r="E281" s="632"/>
      <c r="F281" s="632"/>
      <c r="G281" s="631"/>
      <c r="H281" s="630" t="s">
        <v>44</v>
      </c>
      <c r="I281" s="629">
        <f ca="1">I292</f>
        <v>300</v>
      </c>
      <c r="J281" s="629">
        <f>J292</f>
        <v>300</v>
      </c>
      <c r="K281" s="628">
        <f ca="1">IF(I281&gt;0,J281*100/I281,0)</f>
        <v>100</v>
      </c>
      <c r="L281" s="627"/>
      <c r="M281" s="627"/>
      <c r="N281" s="627"/>
      <c r="O281" s="627"/>
      <c r="P281" s="627"/>
    </row>
    <row r="282" spans="1:16" ht="19.5" x14ac:dyDescent="0.3">
      <c r="A282" s="535"/>
      <c r="B282" s="418"/>
      <c r="C282" s="570" t="s">
        <v>16</v>
      </c>
      <c r="D282" s="579" t="s">
        <v>17</v>
      </c>
      <c r="E282" s="418"/>
      <c r="F282" s="418"/>
      <c r="G282" s="422"/>
      <c r="H282" s="578" t="s">
        <v>12</v>
      </c>
      <c r="I282" s="427"/>
      <c r="J282" s="427"/>
      <c r="K282" s="428"/>
      <c r="L282" s="577">
        <f ca="1">L283+L284</f>
        <v>100120</v>
      </c>
      <c r="M282" s="577">
        <f ca="1">M283+M284</f>
        <v>88480</v>
      </c>
      <c r="N282" s="577">
        <f ca="1">N283+N284</f>
        <v>11800</v>
      </c>
      <c r="O282" s="577">
        <f ca="1">IF(L282&gt;0,N282*100/L282,0)</f>
        <v>11.78585697163404</v>
      </c>
      <c r="P282" s="577">
        <f ca="1">IF(M282&gt;0,N282*100/M282,0)</f>
        <v>13.33634719710669</v>
      </c>
    </row>
    <row r="283" spans="1:16" ht="18.75" hidden="1" x14ac:dyDescent="0.25">
      <c r="A283" s="535"/>
      <c r="B283" s="418"/>
      <c r="C283" s="418"/>
      <c r="D283" s="418"/>
      <c r="E283" s="534" t="s">
        <v>18</v>
      </c>
      <c r="F283" s="418"/>
      <c r="G283" s="422"/>
      <c r="H283" s="538" t="s">
        <v>12</v>
      </c>
      <c r="I283" s="427"/>
      <c r="J283" s="427"/>
      <c r="K283" s="428"/>
      <c r="L283" s="521">
        <f>L286+L289</f>
        <v>0</v>
      </c>
      <c r="M283" s="521">
        <f>M286+M289</f>
        <v>0</v>
      </c>
      <c r="N283" s="521">
        <f>N286+N289</f>
        <v>0</v>
      </c>
      <c r="O283" s="521">
        <f>IF(L283&gt;0,N283*100/L283,0)</f>
        <v>0</v>
      </c>
      <c r="P283" s="521">
        <f>IF(M283&gt;0,N283*100/M283,0)</f>
        <v>0</v>
      </c>
    </row>
    <row r="284" spans="1:16" ht="18.75" x14ac:dyDescent="0.25">
      <c r="A284" s="535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100120</v>
      </c>
      <c r="M284" s="425">
        <f ca="1">M287+M290</f>
        <v>88480</v>
      </c>
      <c r="N284" s="425">
        <f ca="1">N287+N290</f>
        <v>11800</v>
      </c>
      <c r="O284" s="425">
        <f ca="1">IF(L284&gt;0,N284*100/L284,0)</f>
        <v>11.78585697163404</v>
      </c>
      <c r="P284" s="425">
        <f ca="1">IF(M284&gt;0,N284*100/M284,0)</f>
        <v>13.33634719710669</v>
      </c>
    </row>
    <row r="285" spans="1:16" ht="18.75" x14ac:dyDescent="0.25">
      <c r="A285" s="535"/>
      <c r="B285" s="418"/>
      <c r="C285" s="418"/>
      <c r="D285" s="575" t="s">
        <v>20</v>
      </c>
      <c r="E285" s="418"/>
      <c r="F285" s="418"/>
      <c r="G285" s="422"/>
      <c r="H285" s="576" t="s">
        <v>12</v>
      </c>
      <c r="I285" s="526"/>
      <c r="J285" s="526"/>
      <c r="K285" s="525"/>
      <c r="L285" s="425">
        <f ca="1">L286+L287</f>
        <v>100120</v>
      </c>
      <c r="M285" s="425">
        <f ca="1">M286+M287</f>
        <v>88480</v>
      </c>
      <c r="N285" s="425">
        <f ca="1">N286+N287</f>
        <v>11800</v>
      </c>
      <c r="O285" s="425">
        <f ca="1">IF(L285&gt;0,N285*100/L285,0)</f>
        <v>11.78585697163404</v>
      </c>
      <c r="P285" s="425">
        <f ca="1">IF(M285&gt;0,N285*100/M285,0)</f>
        <v>13.33634719710669</v>
      </c>
    </row>
    <row r="286" spans="1:16" ht="18.75" hidden="1" x14ac:dyDescent="0.25">
      <c r="A286" s="535"/>
      <c r="B286" s="418"/>
      <c r="C286" s="418"/>
      <c r="D286" s="418"/>
      <c r="E286" s="534" t="s">
        <v>34</v>
      </c>
      <c r="F286" s="418"/>
      <c r="G286" s="422"/>
      <c r="H286" s="536" t="s">
        <v>12</v>
      </c>
      <c r="I286" s="526"/>
      <c r="J286" s="526"/>
      <c r="K286" s="525"/>
      <c r="L286" s="521">
        <v>0</v>
      </c>
      <c r="M286" s="521">
        <v>0</v>
      </c>
      <c r="N286" s="521">
        <v>0</v>
      </c>
      <c r="O286" s="521">
        <f>IF(L286&gt;0,N286*100/L286,0)</f>
        <v>0</v>
      </c>
      <c r="P286" s="521">
        <f>IF(M286&gt;0,N286*100/M286,0)</f>
        <v>0</v>
      </c>
    </row>
    <row r="287" spans="1:16" ht="18.75" x14ac:dyDescent="0.25">
      <c r="A287" s="535"/>
      <c r="B287" s="418"/>
      <c r="C287" s="418"/>
      <c r="D287" s="418"/>
      <c r="E287" s="293" t="s">
        <v>35</v>
      </c>
      <c r="F287" s="418"/>
      <c r="G287" s="422"/>
      <c r="H287" s="576" t="s">
        <v>12</v>
      </c>
      <c r="I287" s="526"/>
      <c r="J287" s="526"/>
      <c r="K287" s="525"/>
      <c r="L287" s="425">
        <f ca="1">IFERROR(__xludf.DUMMYFUNCTION("IMPORTRANGE(""https://docs.google.com/spreadsheets/d/1-uDff_7J0KD5mKrp0Vvzr7lt3OU09vwQwhkpOPPYv2Y/edit?usp=sharing"",""งบพรบ!DO30"")"),100120)</f>
        <v>100120</v>
      </c>
      <c r="M287" s="425">
        <f ca="1">IFERROR(__xludf.DUMMYFUNCTION("IMPORTRANGE(""https://docs.google.com/spreadsheets/d/1-uDff_7J0KD5mKrp0Vvzr7lt3OU09vwQwhkpOPPYv2Y/edit?usp=sharing"",""งบพรบ!DT30"")"),88480)</f>
        <v>88480</v>
      </c>
      <c r="N287" s="425">
        <f ca="1">IFERROR(__xludf.DUMMYFUNCTION("IMPORTRANGE(""https://docs.google.com/spreadsheets/d/1-uDff_7J0KD5mKrp0Vvzr7lt3OU09vwQwhkpOPPYv2Y/edit?usp=sharing"",""งบพรบ!DV30"")"),11800)</f>
        <v>11800</v>
      </c>
      <c r="O287" s="425">
        <f ca="1">IF(L287&gt;0,N287*100/L287,0)</f>
        <v>11.78585697163404</v>
      </c>
      <c r="P287" s="425">
        <f ca="1">IF(M287&gt;0,N287*100/M287,0)</f>
        <v>13.33634719710669</v>
      </c>
    </row>
    <row r="288" spans="1:16" ht="18.75" x14ac:dyDescent="0.25">
      <c r="A288" s="535"/>
      <c r="B288" s="418"/>
      <c r="C288" s="418"/>
      <c r="D288" s="575" t="s">
        <v>21</v>
      </c>
      <c r="E288" s="418"/>
      <c r="F288" s="418"/>
      <c r="G288" s="422"/>
      <c r="H288" s="574" t="s">
        <v>12</v>
      </c>
      <c r="I288" s="526"/>
      <c r="J288" s="526"/>
      <c r="K288" s="525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35"/>
      <c r="B289" s="418"/>
      <c r="C289" s="418"/>
      <c r="D289" s="418"/>
      <c r="E289" s="534" t="s">
        <v>18</v>
      </c>
      <c r="F289" s="418"/>
      <c r="G289" s="422"/>
      <c r="H289" s="536" t="s">
        <v>12</v>
      </c>
      <c r="I289" s="526"/>
      <c r="J289" s="526"/>
      <c r="K289" s="525"/>
      <c r="L289" s="521">
        <v>0</v>
      </c>
      <c r="M289" s="521">
        <v>0</v>
      </c>
      <c r="N289" s="521">
        <v>0</v>
      </c>
      <c r="O289" s="521">
        <f>IF(L289&gt;0,N289*100/L289,0)</f>
        <v>0</v>
      </c>
      <c r="P289" s="521">
        <f>IF(M289&gt;0,N289*100/M289,0)</f>
        <v>0</v>
      </c>
    </row>
    <row r="290" spans="1:16" ht="18.75" x14ac:dyDescent="0.25">
      <c r="A290" s="535"/>
      <c r="B290" s="418"/>
      <c r="C290" s="418"/>
      <c r="D290" s="418"/>
      <c r="E290" s="293" t="s">
        <v>19</v>
      </c>
      <c r="F290" s="418"/>
      <c r="G290" s="422"/>
      <c r="H290" s="574" t="s">
        <v>12</v>
      </c>
      <c r="I290" s="526"/>
      <c r="J290" s="526"/>
      <c r="K290" s="525"/>
      <c r="L290" s="425">
        <f ca="1">IFERROR(__xludf.DUMMYFUNCTION("IMPORTRANGE(""https://docs.google.com/spreadsheets/d/1-uDff_7J0KD5mKrp0Vvzr7lt3OU09vwQwhkpOPPYv2Y/edit?usp=sharing"",""งบพรบ!DR30"")"),0)</f>
        <v>0</v>
      </c>
      <c r="M290" s="425">
        <f ca="1">IFERROR(__xludf.DUMMYFUNCTION("IMPORTRANGE(""https://docs.google.com/spreadsheets/d/1-uDff_7J0KD5mKrp0Vvzr7lt3OU09vwQwhkpOPPYv2Y/edit?usp=sharing"",""งบพรบ!DU30"")"),0)</f>
        <v>0</v>
      </c>
      <c r="N290" s="425">
        <f ca="1">IFERROR(__xludf.DUMMYFUNCTION("IMPORTRANGE(""https://docs.google.com/spreadsheets/d/1-uDff_7J0KD5mKrp0Vvzr7lt3OU09vwQwhkpOPPYv2Y/edit?usp=sharing"",""งบพรบ!DW30"")"),0)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2"/>
      <c r="B291" s="430"/>
      <c r="C291" s="570" t="s">
        <v>16</v>
      </c>
      <c r="D291" s="569" t="s">
        <v>36</v>
      </c>
      <c r="E291" s="529"/>
      <c r="F291" s="529"/>
      <c r="G291" s="528"/>
      <c r="H291" s="527"/>
      <c r="I291" s="526"/>
      <c r="J291" s="526"/>
      <c r="K291" s="525"/>
      <c r="L291" s="525"/>
      <c r="M291" s="525"/>
      <c r="N291" s="525"/>
      <c r="O291" s="525"/>
      <c r="P291" s="525"/>
    </row>
    <row r="292" spans="1:16" ht="18.75" x14ac:dyDescent="0.25">
      <c r="A292" s="532"/>
      <c r="B292" s="430"/>
      <c r="C292" s="430"/>
      <c r="D292" s="421" t="s">
        <v>113</v>
      </c>
      <c r="E292" s="430"/>
      <c r="F292" s="420"/>
      <c r="G292" s="527"/>
      <c r="H292" s="568" t="s">
        <v>44</v>
      </c>
      <c r="I292" s="424">
        <f ca="1">IFERROR(__xludf.DUMMYFUNCTION("IMPORTRANGE(""https://docs.google.com/spreadsheets/d/1eHaY18a8A9IcSdp1K8H6x8fbOy06t2VsZHhMHf-1x7Y/edit?usp=sharing"",""แผน!EE30"")"),300)</f>
        <v>300</v>
      </c>
      <c r="J292" s="595">
        <v>300</v>
      </c>
      <c r="K292" s="621">
        <f ca="1">IF(I292&gt;0,J292*100/I292,0)</f>
        <v>100</v>
      </c>
      <c r="L292" s="525"/>
      <c r="M292" s="525"/>
      <c r="N292" s="525"/>
      <c r="O292" s="525"/>
      <c r="P292" s="525"/>
    </row>
    <row r="293" spans="1:16" ht="19.5" x14ac:dyDescent="0.3">
      <c r="A293" s="532"/>
      <c r="B293" s="430"/>
      <c r="C293" s="430"/>
      <c r="D293" s="421" t="s">
        <v>114</v>
      </c>
      <c r="E293" s="430"/>
      <c r="F293" s="420"/>
      <c r="G293" s="527"/>
      <c r="H293" s="626" t="s">
        <v>33</v>
      </c>
      <c r="I293" s="625">
        <f ca="1">IFERROR(__xludf.DUMMYFUNCTION("IMPORTRANGE(""https://docs.google.com/spreadsheets/d/1eHaY18a8A9IcSdp1K8H6x8fbOy06t2VsZHhMHf-1x7Y/edit?usp=sharing"",""แผน!ED30"")"),30)</f>
        <v>30</v>
      </c>
      <c r="J293" s="625">
        <f>J296</f>
        <v>30</v>
      </c>
      <c r="K293" s="624">
        <f ca="1">IF(I293&gt;0,J293*100/I293,0)</f>
        <v>100</v>
      </c>
      <c r="L293" s="525"/>
      <c r="M293" s="525"/>
      <c r="N293" s="525"/>
      <c r="O293" s="525"/>
      <c r="P293" s="525"/>
    </row>
    <row r="294" spans="1:16" ht="19.5" x14ac:dyDescent="0.3">
      <c r="A294" s="532"/>
      <c r="B294" s="430"/>
      <c r="C294" s="430"/>
      <c r="D294" s="420"/>
      <c r="E294" s="623" t="s">
        <v>154</v>
      </c>
      <c r="F294" s="420"/>
      <c r="G294" s="527"/>
      <c r="H294" s="527"/>
      <c r="I294" s="526"/>
      <c r="J294" s="427"/>
      <c r="K294" s="525"/>
      <c r="L294" s="525"/>
      <c r="M294" s="525"/>
      <c r="N294" s="525"/>
      <c r="O294" s="525"/>
      <c r="P294" s="525"/>
    </row>
    <row r="295" spans="1:16" ht="19.5" x14ac:dyDescent="0.3">
      <c r="A295" s="532"/>
      <c r="B295" s="430"/>
      <c r="C295" s="430"/>
      <c r="D295" s="420"/>
      <c r="E295" s="421" t="s">
        <v>153</v>
      </c>
      <c r="F295" s="420"/>
      <c r="G295" s="527"/>
      <c r="H295" s="566" t="s">
        <v>33</v>
      </c>
      <c r="I295" s="622">
        <f ca="1">IFERROR(__xludf.DUMMYFUNCTION("IMPORTRANGE(""https://docs.google.com/spreadsheets/d/1eHaY18a8A9IcSdp1K8H6x8fbOy06t2VsZHhMHf-1x7Y/edit?usp=sharing"",""แผน!ED30"")"),30)</f>
        <v>30</v>
      </c>
      <c r="J295" s="595">
        <v>30</v>
      </c>
      <c r="K295" s="621">
        <f ca="1">IF(I295&gt;0,J295*100/I295,0)</f>
        <v>100</v>
      </c>
      <c r="L295" s="525"/>
      <c r="M295" s="525"/>
      <c r="N295" s="525"/>
      <c r="O295" s="525"/>
      <c r="P295" s="525"/>
    </row>
    <row r="296" spans="1:16" ht="19.5" x14ac:dyDescent="0.3">
      <c r="A296" s="532"/>
      <c r="B296" s="430"/>
      <c r="C296" s="430"/>
      <c r="D296" s="420"/>
      <c r="E296" s="421" t="s">
        <v>152</v>
      </c>
      <c r="F296" s="420"/>
      <c r="G296" s="527"/>
      <c r="H296" s="566" t="s">
        <v>33</v>
      </c>
      <c r="I296" s="622">
        <f ca="1">IFERROR(__xludf.DUMMYFUNCTION("IMPORTRANGE(""https://docs.google.com/spreadsheets/d/1eHaY18a8A9IcSdp1K8H6x8fbOy06t2VsZHhMHf-1x7Y/edit?usp=sharing"",""แผน!ED30"")"),30)</f>
        <v>30</v>
      </c>
      <c r="J296" s="595">
        <v>30</v>
      </c>
      <c r="K296" s="621">
        <f ca="1">IF(I296&gt;0,J296*100/I296,0)</f>
        <v>100</v>
      </c>
      <c r="L296" s="525"/>
      <c r="M296" s="525"/>
      <c r="N296" s="525"/>
      <c r="O296" s="525"/>
      <c r="P296" s="525"/>
    </row>
    <row r="297" spans="1:16" ht="12.75" hidden="1" x14ac:dyDescent="0.2">
      <c r="A297" s="620"/>
      <c r="B297" s="619"/>
      <c r="C297" s="619"/>
      <c r="D297" s="618"/>
      <c r="E297" s="618"/>
      <c r="F297" s="618"/>
      <c r="G297" s="617"/>
      <c r="H297" s="617"/>
      <c r="I297" s="616"/>
      <c r="J297" s="616"/>
      <c r="K297" s="615"/>
      <c r="L297" s="615"/>
      <c r="M297" s="615"/>
      <c r="N297" s="615"/>
      <c r="O297" s="615"/>
      <c r="P297" s="615"/>
    </row>
    <row r="298" spans="1:16" ht="12.75" hidden="1" x14ac:dyDescent="0.2">
      <c r="A298" s="620"/>
      <c r="B298" s="619"/>
      <c r="C298" s="619"/>
      <c r="D298" s="618"/>
      <c r="E298" s="618"/>
      <c r="F298" s="618"/>
      <c r="G298" s="617"/>
      <c r="H298" s="617"/>
      <c r="I298" s="616"/>
      <c r="J298" s="616"/>
      <c r="K298" s="615"/>
      <c r="L298" s="615"/>
      <c r="M298" s="615"/>
      <c r="N298" s="615"/>
      <c r="O298" s="615"/>
      <c r="P298" s="615"/>
    </row>
    <row r="299" spans="1:16" ht="12.75" hidden="1" x14ac:dyDescent="0.2">
      <c r="A299" s="614"/>
      <c r="B299" s="613"/>
      <c r="C299" s="613"/>
      <c r="D299" s="612"/>
      <c r="E299" s="612"/>
      <c r="F299" s="612"/>
      <c r="G299" s="611"/>
      <c r="H299" s="611"/>
      <c r="I299" s="610"/>
      <c r="J299" s="610"/>
      <c r="K299" s="609"/>
      <c r="L299" s="609"/>
      <c r="M299" s="609"/>
      <c r="N299" s="609"/>
      <c r="O299" s="609"/>
      <c r="P299" s="609"/>
    </row>
    <row r="300" spans="1:16" ht="19.5" x14ac:dyDescent="0.3">
      <c r="A300" s="608" t="s">
        <v>118</v>
      </c>
      <c r="B300" s="607"/>
      <c r="C300" s="607"/>
      <c r="D300" s="607"/>
      <c r="E300" s="606"/>
      <c r="F300" s="606"/>
      <c r="G300" s="606"/>
      <c r="H300" s="606"/>
      <c r="I300" s="605"/>
      <c r="J300" s="605"/>
      <c r="K300" s="604"/>
      <c r="L300" s="604"/>
      <c r="M300" s="604"/>
      <c r="N300" s="604"/>
      <c r="O300" s="604"/>
      <c r="P300" s="603"/>
    </row>
    <row r="301" spans="1:16" ht="19.5" x14ac:dyDescent="0.3">
      <c r="A301" s="594" t="s">
        <v>119</v>
      </c>
      <c r="B301" s="593"/>
      <c r="C301" s="593"/>
      <c r="D301" s="592"/>
      <c r="E301" s="592"/>
      <c r="F301" s="592"/>
      <c r="G301" s="602"/>
      <c r="H301" s="602"/>
      <c r="I301" s="591"/>
      <c r="J301" s="591"/>
      <c r="K301" s="590"/>
      <c r="L301" s="590"/>
      <c r="M301" s="590"/>
      <c r="N301" s="590"/>
      <c r="O301" s="590"/>
      <c r="P301" s="590"/>
    </row>
    <row r="302" spans="1:16" ht="19.5" x14ac:dyDescent="0.3">
      <c r="A302" s="586"/>
      <c r="B302" s="585" t="s">
        <v>120</v>
      </c>
      <c r="C302" s="583"/>
      <c r="D302" s="583"/>
      <c r="E302" s="583"/>
      <c r="F302" s="583"/>
      <c r="G302" s="582"/>
      <c r="H302" s="589" t="s">
        <v>33</v>
      </c>
      <c r="I302" s="598">
        <f ca="1">I314</f>
        <v>20</v>
      </c>
      <c r="J302" s="598">
        <f>J314</f>
        <v>0</v>
      </c>
      <c r="K302" s="597">
        <f ca="1">IF(I302&gt;0,J302*100/I302,0)</f>
        <v>0</v>
      </c>
      <c r="L302" s="580"/>
      <c r="M302" s="580"/>
      <c r="N302" s="580"/>
      <c r="O302" s="580"/>
      <c r="P302" s="580"/>
    </row>
    <row r="303" spans="1:16" ht="19.5" x14ac:dyDescent="0.3">
      <c r="A303" s="535"/>
      <c r="B303" s="418"/>
      <c r="C303" s="570" t="s">
        <v>16</v>
      </c>
      <c r="D303" s="579" t="s">
        <v>17</v>
      </c>
      <c r="E303" s="418"/>
      <c r="F303" s="418"/>
      <c r="G303" s="422"/>
      <c r="H303" s="578" t="s">
        <v>12</v>
      </c>
      <c r="I303" s="427"/>
      <c r="J303" s="427"/>
      <c r="K303" s="428"/>
      <c r="L303" s="577">
        <f ca="1">L304+L305</f>
        <v>184600</v>
      </c>
      <c r="M303" s="577">
        <f ca="1">M304+M305</f>
        <v>137400</v>
      </c>
      <c r="N303" s="577">
        <f ca="1">N304+N305</f>
        <v>40580</v>
      </c>
      <c r="O303" s="577">
        <f ca="1">IF(L303&gt;0,N303*100/L303,0)</f>
        <v>21.982665222101843</v>
      </c>
      <c r="P303" s="577">
        <f ca="1">IF(M303&gt;0,N303*100/M303,0)</f>
        <v>29.534206695778749</v>
      </c>
    </row>
    <row r="304" spans="1:16" ht="18.75" hidden="1" x14ac:dyDescent="0.25">
      <c r="A304" s="535"/>
      <c r="B304" s="418"/>
      <c r="C304" s="418"/>
      <c r="D304" s="418"/>
      <c r="E304" s="534" t="s">
        <v>18</v>
      </c>
      <c r="F304" s="418"/>
      <c r="G304" s="422"/>
      <c r="H304" s="538" t="s">
        <v>12</v>
      </c>
      <c r="I304" s="427"/>
      <c r="J304" s="427"/>
      <c r="K304" s="428"/>
      <c r="L304" s="521">
        <f>L307+L310</f>
        <v>0</v>
      </c>
      <c r="M304" s="521">
        <f>M307+M310</f>
        <v>0</v>
      </c>
      <c r="N304" s="521">
        <f>N307+N310</f>
        <v>0</v>
      </c>
      <c r="O304" s="521">
        <f>IF(L304&gt;0,N304*100/L304,0)</f>
        <v>0</v>
      </c>
      <c r="P304" s="521">
        <f>IF(M304&gt;0,N304*100/M304,0)</f>
        <v>0</v>
      </c>
    </row>
    <row r="305" spans="1:16" ht="18.75" x14ac:dyDescent="0.25">
      <c r="A305" s="535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184600</v>
      </c>
      <c r="M305" s="425">
        <f ca="1">M308+M311</f>
        <v>137400</v>
      </c>
      <c r="N305" s="425">
        <f ca="1">N308+N311</f>
        <v>40580</v>
      </c>
      <c r="O305" s="425">
        <f ca="1">IF(L305&gt;0,N305*100/L305,0)</f>
        <v>21.982665222101843</v>
      </c>
      <c r="P305" s="425">
        <f ca="1">IF(M305&gt;0,N305*100/M305,0)</f>
        <v>29.534206695778749</v>
      </c>
    </row>
    <row r="306" spans="1:16" ht="18.75" x14ac:dyDescent="0.25">
      <c r="A306" s="535"/>
      <c r="B306" s="418"/>
      <c r="C306" s="418"/>
      <c r="D306" s="575" t="s">
        <v>20</v>
      </c>
      <c r="E306" s="418"/>
      <c r="F306" s="418"/>
      <c r="G306" s="422"/>
      <c r="H306" s="576" t="s">
        <v>12</v>
      </c>
      <c r="I306" s="526"/>
      <c r="J306" s="526"/>
      <c r="K306" s="525"/>
      <c r="L306" s="425">
        <f ca="1">L307+L308</f>
        <v>184600</v>
      </c>
      <c r="M306" s="425">
        <f ca="1">M307+M308</f>
        <v>137400</v>
      </c>
      <c r="N306" s="425">
        <f ca="1">N307+N308</f>
        <v>40580</v>
      </c>
      <c r="O306" s="425">
        <f ca="1">IF(L306&gt;0,N306*100/L306,0)</f>
        <v>21.982665222101843</v>
      </c>
      <c r="P306" s="425">
        <f ca="1">IF(M306&gt;0,N306*100/M306,0)</f>
        <v>29.534206695778749</v>
      </c>
    </row>
    <row r="307" spans="1:16" ht="18.75" hidden="1" x14ac:dyDescent="0.25">
      <c r="A307" s="535"/>
      <c r="B307" s="418"/>
      <c r="C307" s="418"/>
      <c r="D307" s="418"/>
      <c r="E307" s="534" t="s">
        <v>34</v>
      </c>
      <c r="F307" s="418"/>
      <c r="G307" s="422"/>
      <c r="H307" s="536" t="s">
        <v>12</v>
      </c>
      <c r="I307" s="526"/>
      <c r="J307" s="526"/>
      <c r="K307" s="525"/>
      <c r="L307" s="521">
        <v>0</v>
      </c>
      <c r="M307" s="521">
        <v>0</v>
      </c>
      <c r="N307" s="521">
        <v>0</v>
      </c>
      <c r="O307" s="521">
        <f>IF(L307&gt;0,N307*100/L307,0)</f>
        <v>0</v>
      </c>
      <c r="P307" s="521">
        <f>IF(M307&gt;0,N307*100/M307,0)</f>
        <v>0</v>
      </c>
    </row>
    <row r="308" spans="1:16" ht="18.75" x14ac:dyDescent="0.25">
      <c r="A308" s="535"/>
      <c r="B308" s="418"/>
      <c r="C308" s="418"/>
      <c r="D308" s="418"/>
      <c r="E308" s="293" t="s">
        <v>35</v>
      </c>
      <c r="F308" s="418"/>
      <c r="G308" s="422"/>
      <c r="H308" s="576" t="s">
        <v>12</v>
      </c>
      <c r="I308" s="526"/>
      <c r="J308" s="526"/>
      <c r="K308" s="525"/>
      <c r="L308" s="425">
        <f ca="1">IFERROR(__xludf.DUMMYFUNCTION("IMPORTRANGE(""https://docs.google.com/spreadsheets/d/1-uDff_7J0KD5mKrp0Vvzr7lt3OU09vwQwhkpOPPYv2Y/edit?usp=sharing"",""งบพรบ!DY30"")"),184600)</f>
        <v>184600</v>
      </c>
      <c r="M308" s="425">
        <f ca="1">IFERROR(__xludf.DUMMYFUNCTION("IMPORTRANGE(""https://docs.google.com/spreadsheets/d/1-uDff_7J0KD5mKrp0Vvzr7lt3OU09vwQwhkpOPPYv2Y/edit?usp=sharing"",""งบพรบ!ED30"")"),137400)</f>
        <v>137400</v>
      </c>
      <c r="N308" s="425">
        <f ca="1">IFERROR(__xludf.DUMMYFUNCTION("IMPORTRANGE(""https://docs.google.com/spreadsheets/d/1-uDff_7J0KD5mKrp0Vvzr7lt3OU09vwQwhkpOPPYv2Y/edit?usp=sharing"",""งบพรบ!EF30"")"),40580)</f>
        <v>40580</v>
      </c>
      <c r="O308" s="425">
        <f ca="1">IF(L308&gt;0,N308*100/L308,0)</f>
        <v>21.982665222101843</v>
      </c>
      <c r="P308" s="425">
        <f ca="1">IF(M308&gt;0,N308*100/M308,0)</f>
        <v>29.534206695778749</v>
      </c>
    </row>
    <row r="309" spans="1:16" ht="18.75" x14ac:dyDescent="0.25">
      <c r="A309" s="535"/>
      <c r="B309" s="418"/>
      <c r="C309" s="418"/>
      <c r="D309" s="575" t="s">
        <v>21</v>
      </c>
      <c r="E309" s="418"/>
      <c r="F309" s="418"/>
      <c r="G309" s="422"/>
      <c r="H309" s="574" t="s">
        <v>12</v>
      </c>
      <c r="I309" s="526"/>
      <c r="J309" s="526"/>
      <c r="K309" s="525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35"/>
      <c r="B310" s="418"/>
      <c r="C310" s="418"/>
      <c r="D310" s="418"/>
      <c r="E310" s="534" t="s">
        <v>18</v>
      </c>
      <c r="F310" s="418"/>
      <c r="G310" s="422"/>
      <c r="H310" s="536" t="s">
        <v>12</v>
      </c>
      <c r="I310" s="526"/>
      <c r="J310" s="526"/>
      <c r="K310" s="525"/>
      <c r="L310" s="521">
        <v>0</v>
      </c>
      <c r="M310" s="521">
        <v>0</v>
      </c>
      <c r="N310" s="521">
        <v>0</v>
      </c>
      <c r="O310" s="521">
        <f>IF(L310&gt;0,N310*100/L310,0)</f>
        <v>0</v>
      </c>
      <c r="P310" s="521">
        <f>IF(M310&gt;0,N310*100/M310,0)</f>
        <v>0</v>
      </c>
    </row>
    <row r="311" spans="1:16" ht="18.75" x14ac:dyDescent="0.25">
      <c r="A311" s="535"/>
      <c r="B311" s="418"/>
      <c r="C311" s="418"/>
      <c r="D311" s="418"/>
      <c r="E311" s="293" t="s">
        <v>19</v>
      </c>
      <c r="F311" s="418"/>
      <c r="G311" s="422"/>
      <c r="H311" s="574" t="s">
        <v>12</v>
      </c>
      <c r="I311" s="526"/>
      <c r="J311" s="526"/>
      <c r="K311" s="525"/>
      <c r="L311" s="425">
        <f ca="1">IFERROR(__xludf.DUMMYFUNCTION("IMPORTRANGE(""https://docs.google.com/spreadsheets/d/1-uDff_7J0KD5mKrp0Vvzr7lt3OU09vwQwhkpOPPYv2Y/edit?usp=sharing"",""งบพรบ!EB30"")"),0)</f>
        <v>0</v>
      </c>
      <c r="M311" s="425">
        <f ca="1">IFERROR(__xludf.DUMMYFUNCTION("IMPORTRANGE(""https://docs.google.com/spreadsheets/d/1-uDff_7J0KD5mKrp0Vvzr7lt3OU09vwQwhkpOPPYv2Y/edit?usp=sharing"",""งบพรบ!EE30"")"),0)</f>
        <v>0</v>
      </c>
      <c r="N311" s="425">
        <f ca="1">IFERROR(__xludf.DUMMYFUNCTION("IMPORTRANGE(""https://docs.google.com/spreadsheets/d/1-uDff_7J0KD5mKrp0Vvzr7lt3OU09vwQwhkpOPPYv2Y/edit?usp=sharing"",""งบพรบ!EG30"")"),0)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2"/>
      <c r="B312" s="430"/>
      <c r="C312" s="570" t="s">
        <v>16</v>
      </c>
      <c r="D312" s="569" t="s">
        <v>36</v>
      </c>
      <c r="E312" s="529"/>
      <c r="F312" s="529"/>
      <c r="G312" s="528"/>
      <c r="H312" s="527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2"/>
      <c r="B313" s="430"/>
      <c r="C313" s="430"/>
      <c r="D313" s="421" t="s">
        <v>121</v>
      </c>
      <c r="E313" s="420"/>
      <c r="F313" s="420"/>
      <c r="G313" s="527"/>
      <c r="H313" s="527"/>
      <c r="I313" s="427"/>
      <c r="J313" s="595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2"/>
      <c r="B314" s="430"/>
      <c r="C314" s="430"/>
      <c r="D314" s="421" t="s">
        <v>114</v>
      </c>
      <c r="E314" s="420"/>
      <c r="F314" s="420"/>
      <c r="G314" s="527"/>
      <c r="H314" s="566" t="s">
        <v>33</v>
      </c>
      <c r="I314" s="424">
        <f ca="1">IFERROR(__xludf.DUMMYFUNCTION("IMPORTRANGE(""https://docs.google.com/spreadsheets/d/1eHaY18a8A9IcSdp1K8H6x8fbOy06t2VsZHhMHf-1x7Y/edit?usp=sharing"",""แผน!EF30"")"),20)</f>
        <v>20</v>
      </c>
      <c r="J314" s="595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2"/>
      <c r="B315" s="430"/>
      <c r="C315" s="430"/>
      <c r="D315" s="421" t="s">
        <v>122</v>
      </c>
      <c r="E315" s="420"/>
      <c r="F315" s="420"/>
      <c r="G315" s="527"/>
      <c r="H315" s="566" t="s">
        <v>33</v>
      </c>
      <c r="I315" s="424">
        <f ca="1">IFERROR(__xludf.DUMMYFUNCTION("IMPORTRANGE(""https://docs.google.com/spreadsheets/d/1eHaY18a8A9IcSdp1K8H6x8fbOy06t2VsZHhMHf-1x7Y/edit?usp=sharing"",""แผน!EG30"")"),4)</f>
        <v>4</v>
      </c>
      <c r="J315" s="595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2"/>
      <c r="B316" s="430"/>
      <c r="C316" s="430"/>
      <c r="D316" s="421" t="s">
        <v>48</v>
      </c>
      <c r="E316" s="420"/>
      <c r="F316" s="420"/>
      <c r="G316" s="527"/>
      <c r="H316" s="566" t="s">
        <v>33</v>
      </c>
      <c r="I316" s="424">
        <f ca="1">IFERROR(__xludf.DUMMYFUNCTION("IMPORTRANGE(""https://docs.google.com/spreadsheets/d/1eHaY18a8A9IcSdp1K8H6x8fbOy06t2VsZHhMHf-1x7Y/edit?usp=sharing"",""แผน!EH30"")"),20)</f>
        <v>20</v>
      </c>
      <c r="J316" s="595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34" t="s">
        <v>123</v>
      </c>
      <c r="E317" s="418"/>
      <c r="F317" s="418"/>
      <c r="G317" s="422"/>
      <c r="H317" s="601" t="s">
        <v>33</v>
      </c>
      <c r="I317" s="199">
        <f ca="1">IFERROR(__xludf.DUMMYFUNCTION("IMPORTRANGE(""https://docs.google.com/spreadsheets/d/1eHaY18a8A9IcSdp1K8H6x8fbOy06t2VsZHhMHf-1x7Y/edit?usp=sharing"",""แผน!EI30"")"),4)</f>
        <v>4</v>
      </c>
      <c r="J317" s="199">
        <v>0</v>
      </c>
      <c r="K317" s="521">
        <f ca="1">IF(I317&gt;0,J317*100/I317,0)</f>
        <v>0</v>
      </c>
      <c r="L317" s="428"/>
      <c r="M317" s="428"/>
      <c r="N317" s="428"/>
      <c r="O317" s="428"/>
      <c r="P317" s="428"/>
    </row>
    <row r="318" spans="1:16" ht="19.5" x14ac:dyDescent="0.3">
      <c r="A318" s="594" t="s">
        <v>124</v>
      </c>
      <c r="B318" s="593"/>
      <c r="C318" s="593"/>
      <c r="D318" s="592"/>
      <c r="E318" s="593"/>
      <c r="F318" s="593"/>
      <c r="G318" s="593"/>
      <c r="H318" s="592"/>
      <c r="I318" s="591"/>
      <c r="J318" s="591"/>
      <c r="K318" s="590"/>
      <c r="L318" s="590"/>
      <c r="M318" s="590"/>
      <c r="N318" s="590"/>
      <c r="O318" s="590"/>
      <c r="P318" s="590"/>
    </row>
    <row r="319" spans="1:16" ht="19.5" x14ac:dyDescent="0.3">
      <c r="A319" s="600"/>
      <c r="B319" s="585" t="s">
        <v>125</v>
      </c>
      <c r="C319" s="599"/>
      <c r="D319" s="584"/>
      <c r="E319" s="583"/>
      <c r="F319" s="583"/>
      <c r="G319" s="582"/>
      <c r="H319" s="589" t="s">
        <v>126</v>
      </c>
      <c r="I319" s="598">
        <f ca="1">I330</f>
        <v>1</v>
      </c>
      <c r="J319" s="598">
        <f>J330</f>
        <v>0</v>
      </c>
      <c r="K319" s="597">
        <f ca="1">IF(I319&gt;0,J319*100/I319,0)</f>
        <v>0</v>
      </c>
      <c r="L319" s="580"/>
      <c r="M319" s="580"/>
      <c r="N319" s="580"/>
      <c r="O319" s="580"/>
      <c r="P319" s="580"/>
    </row>
    <row r="320" spans="1:16" ht="19.5" x14ac:dyDescent="0.3">
      <c r="A320" s="535"/>
      <c r="B320" s="418"/>
      <c r="C320" s="570" t="s">
        <v>16</v>
      </c>
      <c r="D320" s="579" t="s">
        <v>17</v>
      </c>
      <c r="E320" s="418"/>
      <c r="F320" s="418"/>
      <c r="G320" s="422"/>
      <c r="H320" s="578" t="s">
        <v>12</v>
      </c>
      <c r="I320" s="427"/>
      <c r="J320" s="427"/>
      <c r="K320" s="428"/>
      <c r="L320" s="577">
        <f ca="1">L321+L322</f>
        <v>20000</v>
      </c>
      <c r="M320" s="577">
        <f ca="1">M321+M322</f>
        <v>20000</v>
      </c>
      <c r="N320" s="577">
        <f ca="1">N321+N322</f>
        <v>0</v>
      </c>
      <c r="O320" s="577">
        <f ca="1">IF(L320&gt;0,N320*100/L320,0)</f>
        <v>0</v>
      </c>
      <c r="P320" s="577">
        <f ca="1">IF(M320&gt;0,N320*100/M320,0)</f>
        <v>0</v>
      </c>
    </row>
    <row r="321" spans="1:16" ht="18.75" hidden="1" x14ac:dyDescent="0.25">
      <c r="A321" s="535"/>
      <c r="B321" s="418"/>
      <c r="C321" s="418"/>
      <c r="D321" s="418"/>
      <c r="E321" s="534" t="s">
        <v>18</v>
      </c>
      <c r="F321" s="418"/>
      <c r="G321" s="422"/>
      <c r="H321" s="538" t="s">
        <v>12</v>
      </c>
      <c r="I321" s="427"/>
      <c r="J321" s="427"/>
      <c r="K321" s="428"/>
      <c r="L321" s="521">
        <f>L324+L327</f>
        <v>0</v>
      </c>
      <c r="M321" s="521">
        <f>M324+M327</f>
        <v>0</v>
      </c>
      <c r="N321" s="521">
        <f>N324+N327</f>
        <v>0</v>
      </c>
      <c r="O321" s="521">
        <f>IF(L321&gt;0,N321*100/L321,0)</f>
        <v>0</v>
      </c>
      <c r="P321" s="521">
        <f>IF(M321&gt;0,N321*100/M321,0)</f>
        <v>0</v>
      </c>
    </row>
    <row r="322" spans="1:16" ht="18.75" x14ac:dyDescent="0.25">
      <c r="A322" s="535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20000</v>
      </c>
      <c r="M322" s="425">
        <f ca="1">M325+M328</f>
        <v>20000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x14ac:dyDescent="0.25">
      <c r="A323" s="535"/>
      <c r="B323" s="418"/>
      <c r="C323" s="418"/>
      <c r="D323" s="575" t="s">
        <v>20</v>
      </c>
      <c r="E323" s="418"/>
      <c r="F323" s="418"/>
      <c r="G323" s="422"/>
      <c r="H323" s="576" t="s">
        <v>12</v>
      </c>
      <c r="I323" s="526"/>
      <c r="J323" s="526"/>
      <c r="K323" s="525"/>
      <c r="L323" s="425">
        <f ca="1">L324+L325</f>
        <v>20000</v>
      </c>
      <c r="M323" s="425">
        <f ca="1">M324+M325</f>
        <v>20000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35"/>
      <c r="B324" s="418"/>
      <c r="C324" s="418"/>
      <c r="D324" s="418"/>
      <c r="E324" s="534" t="s">
        <v>34</v>
      </c>
      <c r="F324" s="418"/>
      <c r="G324" s="422"/>
      <c r="H324" s="536" t="s">
        <v>12</v>
      </c>
      <c r="I324" s="526"/>
      <c r="J324" s="526"/>
      <c r="K324" s="525"/>
      <c r="L324" s="521">
        <v>0</v>
      </c>
      <c r="M324" s="521">
        <v>0</v>
      </c>
      <c r="N324" s="521">
        <v>0</v>
      </c>
      <c r="O324" s="521">
        <f>IF(L324&gt;0,N324*100/L324,0)</f>
        <v>0</v>
      </c>
      <c r="P324" s="521">
        <f>IF(M324&gt;0,N324*100/M324,0)</f>
        <v>0</v>
      </c>
    </row>
    <row r="325" spans="1:16" ht="18.75" x14ac:dyDescent="0.25">
      <c r="A325" s="535"/>
      <c r="B325" s="418"/>
      <c r="C325" s="418"/>
      <c r="D325" s="418"/>
      <c r="E325" s="293" t="s">
        <v>35</v>
      </c>
      <c r="F325" s="418"/>
      <c r="G325" s="422"/>
      <c r="H325" s="576" t="s">
        <v>12</v>
      </c>
      <c r="I325" s="526"/>
      <c r="J325" s="526"/>
      <c r="K325" s="525"/>
      <c r="L325" s="425">
        <f ca="1">IFERROR(__xludf.DUMMYFUNCTION("IMPORTRANGE(""https://docs.google.com/spreadsheets/d/1-uDff_7J0KD5mKrp0Vvzr7lt3OU09vwQwhkpOPPYv2Y/edit?usp=sharing"",""งบพรบ!EI30"")"),20000)</f>
        <v>20000</v>
      </c>
      <c r="M325" s="425">
        <f ca="1">IFERROR(__xludf.DUMMYFUNCTION("IMPORTRANGE(""https://docs.google.com/spreadsheets/d/1-uDff_7J0KD5mKrp0Vvzr7lt3OU09vwQwhkpOPPYv2Y/edit?usp=sharing"",""งบพรบ!EN30"")"),20000)</f>
        <v>20000</v>
      </c>
      <c r="N325" s="425">
        <f ca="1">IFERROR(__xludf.DUMMYFUNCTION("IMPORTRANGE(""https://docs.google.com/spreadsheets/d/1-uDff_7J0KD5mKrp0Vvzr7lt3OU09vwQwhkpOPPYv2Y/edit?usp=sharing"",""งบพรบ!EP30"")"),0)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x14ac:dyDescent="0.25">
      <c r="A326" s="535"/>
      <c r="B326" s="418"/>
      <c r="C326" s="418"/>
      <c r="D326" s="575" t="s">
        <v>21</v>
      </c>
      <c r="E326" s="418"/>
      <c r="F326" s="418"/>
      <c r="G326" s="422"/>
      <c r="H326" s="574" t="s">
        <v>12</v>
      </c>
      <c r="I326" s="526"/>
      <c r="J326" s="526"/>
      <c r="K326" s="525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35"/>
      <c r="B327" s="418"/>
      <c r="C327" s="418"/>
      <c r="D327" s="418"/>
      <c r="E327" s="534" t="s">
        <v>18</v>
      </c>
      <c r="F327" s="418"/>
      <c r="G327" s="422"/>
      <c r="H327" s="536" t="s">
        <v>12</v>
      </c>
      <c r="I327" s="526"/>
      <c r="J327" s="526"/>
      <c r="K327" s="525"/>
      <c r="L327" s="521">
        <v>0</v>
      </c>
      <c r="M327" s="521">
        <v>0</v>
      </c>
      <c r="N327" s="521">
        <v>0</v>
      </c>
      <c r="O327" s="521">
        <f>IF(L327&gt;0,N327*100/L327,0)</f>
        <v>0</v>
      </c>
      <c r="P327" s="521">
        <f>IF(M327&gt;0,N327*100/M327,0)</f>
        <v>0</v>
      </c>
    </row>
    <row r="328" spans="1:16" ht="18.75" x14ac:dyDescent="0.25">
      <c r="A328" s="535"/>
      <c r="B328" s="418"/>
      <c r="C328" s="418"/>
      <c r="D328" s="418"/>
      <c r="E328" s="293" t="s">
        <v>19</v>
      </c>
      <c r="F328" s="418"/>
      <c r="G328" s="422"/>
      <c r="H328" s="574" t="s">
        <v>12</v>
      </c>
      <c r="I328" s="526"/>
      <c r="J328" s="526"/>
      <c r="K328" s="525"/>
      <c r="L328" s="425">
        <f ca="1">IFERROR(__xludf.DUMMYFUNCTION("IMPORTRANGE(""https://docs.google.com/spreadsheets/d/1-uDff_7J0KD5mKrp0Vvzr7lt3OU09vwQwhkpOPPYv2Y/edit?usp=sharing"",""งบพรบ!EL30"")"),0)</f>
        <v>0</v>
      </c>
      <c r="M328" s="425">
        <f ca="1">IFERROR(__xludf.DUMMYFUNCTION("IMPORTRANGE(""https://docs.google.com/spreadsheets/d/1-uDff_7J0KD5mKrp0Vvzr7lt3OU09vwQwhkpOPPYv2Y/edit?usp=sharing"",""งบพรบ!EO30"")"),0)</f>
        <v>0</v>
      </c>
      <c r="N328" s="425">
        <f ca="1">IFERROR(__xludf.DUMMYFUNCTION("IMPORTRANGE(""https://docs.google.com/spreadsheets/d/1-uDff_7J0KD5mKrp0Vvzr7lt3OU09vwQwhkpOPPYv2Y/edit?usp=sharing"",""งบพรบ!EQ30"")"),0)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x14ac:dyDescent="0.3">
      <c r="A329" s="532"/>
      <c r="B329" s="430"/>
      <c r="C329" s="570" t="s">
        <v>16</v>
      </c>
      <c r="D329" s="569" t="s">
        <v>36</v>
      </c>
      <c r="E329" s="529"/>
      <c r="F329" s="529"/>
      <c r="G329" s="528"/>
      <c r="H329" s="527"/>
      <c r="I329" s="526"/>
      <c r="J329" s="427"/>
      <c r="K329" s="428"/>
      <c r="L329" s="428"/>
      <c r="M329" s="428"/>
      <c r="N329" s="428"/>
      <c r="O329" s="525"/>
      <c r="P329" s="525"/>
    </row>
    <row r="330" spans="1:16" ht="18.75" x14ac:dyDescent="0.25">
      <c r="A330" s="532"/>
      <c r="B330" s="430"/>
      <c r="C330" s="430"/>
      <c r="D330" s="567" t="s">
        <v>127</v>
      </c>
      <c r="E330" s="420"/>
      <c r="F330" s="420"/>
      <c r="G330" s="527"/>
      <c r="H330" s="596" t="s">
        <v>126</v>
      </c>
      <c r="I330" s="424">
        <f ca="1">IFERROR(__xludf.DUMMYFUNCTION("IMPORTRANGE(""https://docs.google.com/spreadsheets/d/1eHaY18a8A9IcSdp1K8H6x8fbOy06t2VsZHhMHf-1x7Y/edit?usp=sharing"",""แผน!EJ30"")"),1)</f>
        <v>1</v>
      </c>
      <c r="J330" s="595">
        <v>0</v>
      </c>
      <c r="K330" s="425">
        <f ca="1">IF(I330&gt;0,J330*100/I330,0)</f>
        <v>0</v>
      </c>
      <c r="L330" s="428"/>
      <c r="M330" s="428"/>
      <c r="N330" s="428"/>
      <c r="O330" s="525"/>
      <c r="P330" s="525"/>
    </row>
    <row r="331" spans="1:16" ht="19.5" x14ac:dyDescent="0.3">
      <c r="A331" s="594" t="s">
        <v>128</v>
      </c>
      <c r="B331" s="593"/>
      <c r="C331" s="593"/>
      <c r="D331" s="592"/>
      <c r="E331" s="593"/>
      <c r="F331" s="593"/>
      <c r="G331" s="593"/>
      <c r="H331" s="592"/>
      <c r="I331" s="591"/>
      <c r="J331" s="591"/>
      <c r="K331" s="590"/>
      <c r="L331" s="590"/>
      <c r="M331" s="590"/>
      <c r="N331" s="590"/>
      <c r="O331" s="590"/>
      <c r="P331" s="590"/>
    </row>
    <row r="332" spans="1:16" ht="19.5" x14ac:dyDescent="0.3">
      <c r="A332" s="586"/>
      <c r="B332" s="585" t="s">
        <v>129</v>
      </c>
      <c r="C332" s="584"/>
      <c r="D332" s="583"/>
      <c r="E332" s="583"/>
      <c r="F332" s="583"/>
      <c r="G332" s="582"/>
      <c r="H332" s="589" t="s">
        <v>33</v>
      </c>
      <c r="I332" s="401">
        <f ca="1">I344</f>
        <v>1660</v>
      </c>
      <c r="J332" s="402">
        <f ca="1">J344+J347+J348+J349+J353</f>
        <v>959</v>
      </c>
      <c r="K332" s="403">
        <f ca="1">IF(I332&gt;0,J332*100/I332,0)</f>
        <v>57.7710843373494</v>
      </c>
      <c r="L332" s="580"/>
      <c r="M332" s="580"/>
      <c r="N332" s="580"/>
      <c r="O332" s="580"/>
      <c r="P332" s="580"/>
    </row>
    <row r="333" spans="1:16" ht="19.5" x14ac:dyDescent="0.3">
      <c r="A333" s="535"/>
      <c r="B333" s="418"/>
      <c r="C333" s="570" t="s">
        <v>16</v>
      </c>
      <c r="D333" s="579" t="s">
        <v>17</v>
      </c>
      <c r="E333" s="418"/>
      <c r="F333" s="418"/>
      <c r="G333" s="422"/>
      <c r="H333" s="578" t="s">
        <v>12</v>
      </c>
      <c r="I333" s="427"/>
      <c r="J333" s="427"/>
      <c r="K333" s="428"/>
      <c r="L333" s="577">
        <f ca="1">L334+L335</f>
        <v>108000</v>
      </c>
      <c r="M333" s="577">
        <f ca="1">M334+M335</f>
        <v>85750</v>
      </c>
      <c r="N333" s="577">
        <f ca="1">N334+N335</f>
        <v>32800</v>
      </c>
      <c r="O333" s="577">
        <f ca="1">IF(L333&gt;0,N333*100/L333,0)</f>
        <v>30.37037037037037</v>
      </c>
      <c r="P333" s="577">
        <f ca="1">IF(M333&gt;0,N333*100/M333,0)</f>
        <v>38.250728862973759</v>
      </c>
    </row>
    <row r="334" spans="1:16" ht="18.75" hidden="1" x14ac:dyDescent="0.25">
      <c r="A334" s="535"/>
      <c r="B334" s="418"/>
      <c r="C334" s="418"/>
      <c r="D334" s="418"/>
      <c r="E334" s="534" t="s">
        <v>18</v>
      </c>
      <c r="F334" s="418"/>
      <c r="G334" s="422"/>
      <c r="H334" s="538" t="s">
        <v>12</v>
      </c>
      <c r="I334" s="427"/>
      <c r="J334" s="427"/>
      <c r="K334" s="428"/>
      <c r="L334" s="521">
        <f>L337+L340</f>
        <v>0</v>
      </c>
      <c r="M334" s="521">
        <f>M337+M340</f>
        <v>0</v>
      </c>
      <c r="N334" s="521">
        <f>N337+N340</f>
        <v>0</v>
      </c>
      <c r="O334" s="521">
        <f>IF(L334&gt;0,N334*100/L334,0)</f>
        <v>0</v>
      </c>
      <c r="P334" s="521">
        <f>IF(M334&gt;0,N334*100/M334,0)</f>
        <v>0</v>
      </c>
    </row>
    <row r="335" spans="1:16" ht="18.75" x14ac:dyDescent="0.25">
      <c r="A335" s="535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108000</v>
      </c>
      <c r="M335" s="425">
        <f ca="1">M338+M341</f>
        <v>85750</v>
      </c>
      <c r="N335" s="425">
        <f ca="1">N338+N341</f>
        <v>32800</v>
      </c>
      <c r="O335" s="425">
        <f ca="1">IF(L335&gt;0,N335*100/L335,0)</f>
        <v>30.37037037037037</v>
      </c>
      <c r="P335" s="425">
        <f ca="1">IF(M335&gt;0,N335*100/M335,0)</f>
        <v>38.250728862973759</v>
      </c>
    </row>
    <row r="336" spans="1:16" ht="18.75" x14ac:dyDescent="0.25">
      <c r="A336" s="535"/>
      <c r="B336" s="418"/>
      <c r="C336" s="418"/>
      <c r="D336" s="575" t="s">
        <v>20</v>
      </c>
      <c r="E336" s="418"/>
      <c r="F336" s="418"/>
      <c r="G336" s="422"/>
      <c r="H336" s="576" t="s">
        <v>12</v>
      </c>
      <c r="I336" s="526"/>
      <c r="J336" s="526"/>
      <c r="K336" s="525"/>
      <c r="L336" s="425">
        <f ca="1">L337+L338</f>
        <v>108000</v>
      </c>
      <c r="M336" s="425">
        <f ca="1">M337+M338</f>
        <v>85750</v>
      </c>
      <c r="N336" s="425">
        <f ca="1">N337+N338</f>
        <v>32800</v>
      </c>
      <c r="O336" s="425">
        <f ca="1">IF(L336&gt;0,N336*100/L336,0)</f>
        <v>30.37037037037037</v>
      </c>
      <c r="P336" s="425">
        <f ca="1">IF(M336&gt;0,N336*100/M336,0)</f>
        <v>38.250728862973759</v>
      </c>
    </row>
    <row r="337" spans="1:16" ht="18.75" hidden="1" x14ac:dyDescent="0.25">
      <c r="A337" s="535"/>
      <c r="B337" s="418"/>
      <c r="C337" s="418"/>
      <c r="D337" s="418"/>
      <c r="E337" s="534" t="s">
        <v>34</v>
      </c>
      <c r="F337" s="418"/>
      <c r="G337" s="422"/>
      <c r="H337" s="536" t="s">
        <v>12</v>
      </c>
      <c r="I337" s="526"/>
      <c r="J337" s="526"/>
      <c r="K337" s="525"/>
      <c r="L337" s="521">
        <v>0</v>
      </c>
      <c r="M337" s="521">
        <v>0</v>
      </c>
      <c r="N337" s="521">
        <v>0</v>
      </c>
      <c r="O337" s="521">
        <f>IF(L337&gt;0,N337*100/L337,0)</f>
        <v>0</v>
      </c>
      <c r="P337" s="521">
        <f>IF(M337&gt;0,N337*100/M337,0)</f>
        <v>0</v>
      </c>
    </row>
    <row r="338" spans="1:16" ht="18.75" x14ac:dyDescent="0.25">
      <c r="A338" s="535"/>
      <c r="B338" s="418"/>
      <c r="C338" s="418"/>
      <c r="D338" s="418"/>
      <c r="E338" s="293" t="s">
        <v>35</v>
      </c>
      <c r="F338" s="418"/>
      <c r="G338" s="422"/>
      <c r="H338" s="576" t="s">
        <v>12</v>
      </c>
      <c r="I338" s="526"/>
      <c r="J338" s="526"/>
      <c r="K338" s="525"/>
      <c r="L338" s="425">
        <f ca="1">IFERROR(__xludf.DUMMYFUNCTION("IMPORTRANGE(""https://docs.google.com/spreadsheets/d/1-uDff_7J0KD5mKrp0Vvzr7lt3OU09vwQwhkpOPPYv2Y/edit?usp=sharing"",""งบพรบ!ES30"")"),108000)</f>
        <v>108000</v>
      </c>
      <c r="M338" s="425">
        <f ca="1">IFERROR(__xludf.DUMMYFUNCTION("IMPORTRANGE(""https://docs.google.com/spreadsheets/d/1-uDff_7J0KD5mKrp0Vvzr7lt3OU09vwQwhkpOPPYv2Y/edit?usp=sharing"",""งบพรบ!EX30"")"),85750)</f>
        <v>85750</v>
      </c>
      <c r="N338" s="425">
        <f ca="1">IFERROR(__xludf.DUMMYFUNCTION("IMPORTRANGE(""https://docs.google.com/spreadsheets/d/1-uDff_7J0KD5mKrp0Vvzr7lt3OU09vwQwhkpOPPYv2Y/edit?usp=sharing"",""งบพรบ!EZ30"")"),32800)</f>
        <v>32800</v>
      </c>
      <c r="O338" s="425">
        <f ca="1">IF(L338&gt;0,N338*100/L338,0)</f>
        <v>30.37037037037037</v>
      </c>
      <c r="P338" s="425">
        <f ca="1">IF(M338&gt;0,N338*100/M338,0)</f>
        <v>38.250728862973759</v>
      </c>
    </row>
    <row r="339" spans="1:16" ht="18.75" x14ac:dyDescent="0.25">
      <c r="A339" s="535"/>
      <c r="B339" s="418"/>
      <c r="C339" s="418"/>
      <c r="D339" s="575" t="s">
        <v>21</v>
      </c>
      <c r="E339" s="418"/>
      <c r="F339" s="418"/>
      <c r="G339" s="422"/>
      <c r="H339" s="574" t="s">
        <v>12</v>
      </c>
      <c r="I339" s="526"/>
      <c r="J339" s="526"/>
      <c r="K339" s="525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35"/>
      <c r="B340" s="418"/>
      <c r="C340" s="418"/>
      <c r="D340" s="418"/>
      <c r="E340" s="534" t="s">
        <v>18</v>
      </c>
      <c r="F340" s="418"/>
      <c r="G340" s="422"/>
      <c r="H340" s="536" t="s">
        <v>12</v>
      </c>
      <c r="I340" s="526"/>
      <c r="J340" s="526"/>
      <c r="K340" s="525"/>
      <c r="L340" s="521">
        <v>0</v>
      </c>
      <c r="M340" s="521">
        <v>0</v>
      </c>
      <c r="N340" s="521">
        <v>0</v>
      </c>
      <c r="O340" s="521">
        <f>IF(L340&gt;0,N340*100/L340,0)</f>
        <v>0</v>
      </c>
      <c r="P340" s="521">
        <f>IF(M340&gt;0,N340*100/M340,0)</f>
        <v>0</v>
      </c>
    </row>
    <row r="341" spans="1:16" ht="18.75" x14ac:dyDescent="0.25">
      <c r="A341" s="535"/>
      <c r="B341" s="418"/>
      <c r="C341" s="418"/>
      <c r="D341" s="418"/>
      <c r="E341" s="293" t="s">
        <v>19</v>
      </c>
      <c r="F341" s="418"/>
      <c r="G341" s="422"/>
      <c r="H341" s="574" t="s">
        <v>12</v>
      </c>
      <c r="I341" s="526"/>
      <c r="J341" s="526"/>
      <c r="K341" s="525"/>
      <c r="L341" s="425">
        <f ca="1">IFERROR(__xludf.DUMMYFUNCTION("IMPORTRANGE(""https://docs.google.com/spreadsheets/d/1-uDff_7J0KD5mKrp0Vvzr7lt3OU09vwQwhkpOPPYv2Y/edit?usp=sharing"",""งบพรบ!EV30"")"),0)</f>
        <v>0</v>
      </c>
      <c r="M341" s="425">
        <f ca="1">IFERROR(__xludf.DUMMYFUNCTION("IMPORTRANGE(""https://docs.google.com/spreadsheets/d/1-uDff_7J0KD5mKrp0Vvzr7lt3OU09vwQwhkpOPPYv2Y/edit?usp=sharing"",""งบพรบ!EY30"")"),0)</f>
        <v>0</v>
      </c>
      <c r="N341" s="425">
        <f ca="1">IFERROR(__xludf.DUMMYFUNCTION("IMPORTRANGE(""https://docs.google.com/spreadsheets/d/1-uDff_7J0KD5mKrp0Vvzr7lt3OU09vwQwhkpOPPYv2Y/edit?usp=sharing"",""งบพรบ!FA30"")"),0)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2"/>
      <c r="B342" s="430"/>
      <c r="C342" s="570" t="s">
        <v>16</v>
      </c>
      <c r="D342" s="588" t="s">
        <v>36</v>
      </c>
      <c r="E342" s="529"/>
      <c r="F342" s="529"/>
      <c r="G342" s="528"/>
      <c r="H342" s="422"/>
      <c r="I342" s="427"/>
      <c r="J342" s="427"/>
      <c r="K342" s="428"/>
      <c r="L342" s="428"/>
      <c r="M342" s="428"/>
      <c r="N342" s="428"/>
      <c r="O342" s="525"/>
      <c r="P342" s="52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683</v>
      </c>
      <c r="K343" s="415">
        <v>0</v>
      </c>
      <c r="L343" s="587"/>
      <c r="M343" s="587"/>
      <c r="N343" s="587"/>
      <c r="O343" s="587"/>
      <c r="P343" s="587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IFERROR(__xludf.DUMMYFUNCTION("IMPORTRANGE(""https://docs.google.com/spreadsheets/d/1eHaY18a8A9IcSdp1K8H6x8fbOy06t2VsZHhMHf-1x7Y/edit?usp=sharing"",""แผน!EK30"")"),1660)</f>
        <v>1660</v>
      </c>
      <c r="J344" s="424">
        <f ca="1">IFERROR(__xludf.DUMMYFUNCTION("IMPORTRANGE(""https://docs.google.com/spreadsheets/d/1awYsYK3VOup2i3Pq_Yjnu8DRu_mYwSBnCR2QPthd0rU/edit?usp=sharing"",""ศูนย์ยกเว้นโฉนด!D30"")"),683)</f>
        <v>683</v>
      </c>
      <c r="K344" s="425">
        <f ca="1">IF(I344&gt;0,J344*100/I344,0)</f>
        <v>41.144578313253014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IFERROR(__xludf.DUMMYFUNCTION("IMPORTRANGE(""https://docs.google.com/spreadsheets/d/1eHaY18a8A9IcSdp1K8H6x8fbOy06t2VsZHhMHf-1x7Y/edit?usp=sharing"",""แผน!EL30"")"),4)</f>
        <v>4</v>
      </c>
      <c r="J346" s="424">
        <f ca="1">IFERROR(__xludf.DUMMYFUNCTION("IMPORTRANGE(""https://docs.google.com/spreadsheets/d/1awYsYK3VOup2i3Pq_Yjnu8DRu_mYwSBnCR2QPthd0rU/edit?usp=sharing"",""ศูนย์รวม!E30"")"),0)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IFERROR(__xludf.DUMMYFUNCTION("IMPORTRANGE(""https://docs.google.com/spreadsheets/d/1awYsYK3VOup2i3Pq_Yjnu8DRu_mYwSBnCR2QPthd0rU/edit?usp=sharing"",""ศูนย์ยกเว้นโฉนด!F30"")"),0)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IFERROR(__xludf.DUMMYFUNCTION("IMPORTRANGE(""https://docs.google.com/spreadsheets/d/1awYsYK3VOup2i3Pq_Yjnu8DRu_mYwSBnCR2QPthd0rU/edit?usp=sharing"",""ศูนย์ยกเว้นโฉนด!G30"")"),0)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IFERROR(__xludf.DUMMYFUNCTION("IMPORTRANGE(""https://docs.google.com/spreadsheets/d/1awYsYK3VOup2i3Pq_Yjnu8DRu_mYwSBnCR2QPthd0rU/edit?usp=sharing"",""ศูนย์ยกเว้นโฉนด!H30"")"),0)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73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1067</v>
      </c>
      <c r="K351" s="439">
        <v>0</v>
      </c>
      <c r="L351" s="571"/>
      <c r="M351" s="571"/>
      <c r="N351" s="571"/>
      <c r="O351" s="571"/>
      <c r="P351" s="571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IFERROR(__xludf.DUMMYFUNCTION("IMPORTRANGE(""https://docs.google.com/spreadsheets/d/1awYsYK3VOup2i3Pq_Yjnu8DRu_mYwSBnCR2QPthd0rU/edit?usp=sharing"",""โฉนดM3!G30"")"),791)</f>
        <v>791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IFERROR(__xludf.DUMMYFUNCTION("IMPORTRANGE(""https://docs.google.com/spreadsheets/d/1awYsYK3VOup2i3Pq_Yjnu8DRu_mYwSBnCR2QPthd0rU/edit?usp=sharing"",""โฉนดM3!H30"")"),276)</f>
        <v>276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86"/>
      <c r="B355" s="585" t="s">
        <v>141</v>
      </c>
      <c r="C355" s="584"/>
      <c r="D355" s="583"/>
      <c r="E355" s="583"/>
      <c r="F355" s="583"/>
      <c r="G355" s="582"/>
      <c r="H355" s="582"/>
      <c r="I355" s="581"/>
      <c r="J355" s="581"/>
      <c r="K355" s="580"/>
      <c r="L355" s="580"/>
      <c r="M355" s="580"/>
      <c r="N355" s="580"/>
      <c r="O355" s="580"/>
      <c r="P355" s="580"/>
    </row>
    <row r="356" spans="1:16" ht="19.5" x14ac:dyDescent="0.3">
      <c r="A356" s="535"/>
      <c r="B356" s="418"/>
      <c r="C356" s="570" t="s">
        <v>16</v>
      </c>
      <c r="D356" s="579" t="s">
        <v>17</v>
      </c>
      <c r="E356" s="418"/>
      <c r="F356" s="418"/>
      <c r="G356" s="422"/>
      <c r="H356" s="578" t="s">
        <v>12</v>
      </c>
      <c r="I356" s="427"/>
      <c r="J356" s="427"/>
      <c r="K356" s="428"/>
      <c r="L356" s="577">
        <f ca="1">L357+L358</f>
        <v>573900</v>
      </c>
      <c r="M356" s="577">
        <f ca="1">M357+M358</f>
        <v>464900</v>
      </c>
      <c r="N356" s="577">
        <f ca="1">N357+N358</f>
        <v>192883</v>
      </c>
      <c r="O356" s="577">
        <f ca="1">IF(L356&gt;0,N356*100/L356,0)</f>
        <v>33.609165359818782</v>
      </c>
      <c r="P356" s="577">
        <f ca="1">IF(M356&gt;0,N356*100/M356,0)</f>
        <v>41.489137448913745</v>
      </c>
    </row>
    <row r="357" spans="1:16" ht="18.75" hidden="1" x14ac:dyDescent="0.25">
      <c r="A357" s="535"/>
      <c r="B357" s="418"/>
      <c r="C357" s="418"/>
      <c r="D357" s="418"/>
      <c r="E357" s="534" t="s">
        <v>18</v>
      </c>
      <c r="F357" s="418"/>
      <c r="G357" s="422"/>
      <c r="H357" s="538" t="s">
        <v>12</v>
      </c>
      <c r="I357" s="427"/>
      <c r="J357" s="427"/>
      <c r="K357" s="428"/>
      <c r="L357" s="521">
        <f>L360+L363</f>
        <v>0</v>
      </c>
      <c r="M357" s="521">
        <f>M360+M363</f>
        <v>0</v>
      </c>
      <c r="N357" s="521">
        <f>N360+N363</f>
        <v>0</v>
      </c>
      <c r="O357" s="521">
        <f>IF(L357&gt;0,N357*100/L357,0)</f>
        <v>0</v>
      </c>
      <c r="P357" s="521">
        <f>IF(M357&gt;0,N357*100/M357,0)</f>
        <v>0</v>
      </c>
    </row>
    <row r="358" spans="1:16" ht="18.75" x14ac:dyDescent="0.25">
      <c r="A358" s="535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573900</v>
      </c>
      <c r="M358" s="425">
        <f ca="1">M361+M364</f>
        <v>464900</v>
      </c>
      <c r="N358" s="425">
        <f ca="1">N361+N364</f>
        <v>192883</v>
      </c>
      <c r="O358" s="425">
        <f ca="1">IF(L358&gt;0,N358*100/L358,0)</f>
        <v>33.609165359818782</v>
      </c>
      <c r="P358" s="425">
        <f ca="1">IF(M358&gt;0,N358*100/M358,0)</f>
        <v>41.489137448913745</v>
      </c>
    </row>
    <row r="359" spans="1:16" ht="18.75" x14ac:dyDescent="0.25">
      <c r="A359" s="535"/>
      <c r="B359" s="418"/>
      <c r="C359" s="418"/>
      <c r="D359" s="575" t="s">
        <v>20</v>
      </c>
      <c r="E359" s="418"/>
      <c r="F359" s="418"/>
      <c r="G359" s="422"/>
      <c r="H359" s="576" t="s">
        <v>12</v>
      </c>
      <c r="I359" s="526"/>
      <c r="J359" s="526"/>
      <c r="K359" s="525"/>
      <c r="L359" s="425">
        <f ca="1">L360+L361</f>
        <v>573900</v>
      </c>
      <c r="M359" s="425">
        <f ca="1">M360+M361</f>
        <v>464900</v>
      </c>
      <c r="N359" s="425">
        <f ca="1">N360+N361</f>
        <v>192883</v>
      </c>
      <c r="O359" s="425">
        <f ca="1">IF(L359&gt;0,N359*100/L359,0)</f>
        <v>33.609165359818782</v>
      </c>
      <c r="P359" s="425">
        <f ca="1">IF(M359&gt;0,N359*100/M359,0)</f>
        <v>41.489137448913745</v>
      </c>
    </row>
    <row r="360" spans="1:16" ht="18.75" hidden="1" x14ac:dyDescent="0.25">
      <c r="A360" s="535"/>
      <c r="B360" s="418"/>
      <c r="C360" s="418"/>
      <c r="D360" s="418"/>
      <c r="E360" s="534" t="s">
        <v>34</v>
      </c>
      <c r="F360" s="418"/>
      <c r="G360" s="422"/>
      <c r="H360" s="536" t="s">
        <v>12</v>
      </c>
      <c r="I360" s="526"/>
      <c r="J360" s="526"/>
      <c r="K360" s="525"/>
      <c r="L360" s="521">
        <v>0</v>
      </c>
      <c r="M360" s="521">
        <v>0</v>
      </c>
      <c r="N360" s="521">
        <v>0</v>
      </c>
      <c r="O360" s="521">
        <f>IF(L360&gt;0,N360*100/L360,0)</f>
        <v>0</v>
      </c>
      <c r="P360" s="521">
        <f>IF(M360&gt;0,N360*100/M360,0)</f>
        <v>0</v>
      </c>
    </row>
    <row r="361" spans="1:16" ht="18.75" x14ac:dyDescent="0.25">
      <c r="A361" s="535"/>
      <c r="B361" s="418"/>
      <c r="C361" s="418"/>
      <c r="D361" s="418"/>
      <c r="E361" s="293" t="s">
        <v>35</v>
      </c>
      <c r="F361" s="418"/>
      <c r="G361" s="422"/>
      <c r="H361" s="576" t="s">
        <v>12</v>
      </c>
      <c r="I361" s="526"/>
      <c r="J361" s="526"/>
      <c r="K361" s="525"/>
      <c r="L361" s="425">
        <f ca="1">IFERROR(__xludf.DUMMYFUNCTION("IMPORTRANGE(""https://docs.google.com/spreadsheets/d/1-uDff_7J0KD5mKrp0Vvzr7lt3OU09vwQwhkpOPPYv2Y/edit?usp=sharing"",""งบพรบ!FC30"")"),573900)</f>
        <v>573900</v>
      </c>
      <c r="M361" s="425">
        <f ca="1">IFERROR(__xludf.DUMMYFUNCTION("IMPORTRANGE(""https://docs.google.com/spreadsheets/d/1-uDff_7J0KD5mKrp0Vvzr7lt3OU09vwQwhkpOPPYv2Y/edit?usp=sharing"",""งบพรบ!FH30"")"),464900)</f>
        <v>464900</v>
      </c>
      <c r="N361" s="425">
        <f ca="1">IFERROR(__xludf.DUMMYFUNCTION("IMPORTRANGE(""https://docs.google.com/spreadsheets/d/1-uDff_7J0KD5mKrp0Vvzr7lt3OU09vwQwhkpOPPYv2Y/edit?usp=sharing"",""งบพรบ!FJ30"")"),192883)</f>
        <v>192883</v>
      </c>
      <c r="O361" s="425">
        <f ca="1">IF(L361&gt;0,N361*100/L361,0)</f>
        <v>33.609165359818782</v>
      </c>
      <c r="P361" s="425">
        <f ca="1">IF(M361&gt;0,N361*100/M361,0)</f>
        <v>41.489137448913745</v>
      </c>
    </row>
    <row r="362" spans="1:16" ht="18.75" x14ac:dyDescent="0.25">
      <c r="A362" s="535"/>
      <c r="B362" s="418"/>
      <c r="C362" s="418"/>
      <c r="D362" s="575" t="s">
        <v>21</v>
      </c>
      <c r="E362" s="418"/>
      <c r="F362" s="418"/>
      <c r="G362" s="422"/>
      <c r="H362" s="574" t="s">
        <v>12</v>
      </c>
      <c r="I362" s="526"/>
      <c r="J362" s="526"/>
      <c r="K362" s="525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35"/>
      <c r="B363" s="418"/>
      <c r="C363" s="418"/>
      <c r="D363" s="418"/>
      <c r="E363" s="534" t="s">
        <v>18</v>
      </c>
      <c r="F363" s="418"/>
      <c r="G363" s="422"/>
      <c r="H363" s="536" t="s">
        <v>12</v>
      </c>
      <c r="I363" s="526"/>
      <c r="J363" s="526"/>
      <c r="K363" s="525"/>
      <c r="L363" s="521">
        <v>0</v>
      </c>
      <c r="M363" s="521">
        <v>0</v>
      </c>
      <c r="N363" s="521">
        <v>0</v>
      </c>
      <c r="O363" s="521">
        <f>IF(L363&gt;0,N363*100/L363,0)</f>
        <v>0</v>
      </c>
      <c r="P363" s="521">
        <f>IF(M363&gt;0,N363*100/M363,0)</f>
        <v>0</v>
      </c>
    </row>
    <row r="364" spans="1:16" ht="18.75" x14ac:dyDescent="0.25">
      <c r="A364" s="535"/>
      <c r="B364" s="418"/>
      <c r="C364" s="418"/>
      <c r="D364" s="418"/>
      <c r="E364" s="293" t="s">
        <v>19</v>
      </c>
      <c r="F364" s="418"/>
      <c r="G364" s="422"/>
      <c r="H364" s="574" t="s">
        <v>12</v>
      </c>
      <c r="I364" s="526"/>
      <c r="J364" s="526"/>
      <c r="K364" s="525"/>
      <c r="L364" s="425">
        <f ca="1">IFERROR(__xludf.DUMMYFUNCTION("IMPORTRANGE(""https://docs.google.com/spreadsheets/d/1-uDff_7J0KD5mKrp0Vvzr7lt3OU09vwQwhkpOPPYv2Y/edit?usp=sharing"",""งบพรบ!FF30"")"),0)</f>
        <v>0</v>
      </c>
      <c r="M364" s="425">
        <f ca="1">IFERROR(__xludf.DUMMYFUNCTION("IMPORTRANGE(""https://docs.google.com/spreadsheets/d/1-uDff_7J0KD5mKrp0Vvzr7lt3OU09vwQwhkpOPPYv2Y/edit?usp=sharing"",""งบพรบ!FI30"")"),0)</f>
        <v>0</v>
      </c>
      <c r="N364" s="425">
        <f ca="1">IFERROR(__xludf.DUMMYFUNCTION("IMPORTRANGE(""https://docs.google.com/spreadsheets/d/1-uDff_7J0KD5mKrp0Vvzr7lt3OU09vwQwhkpOPPYv2Y/edit?usp=sharing"",""งบพรบ!FK30"")"),0)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73" t="s">
        <v>142</v>
      </c>
      <c r="E365" s="433"/>
      <c r="F365" s="433"/>
      <c r="G365" s="436"/>
      <c r="H365" s="572" t="s">
        <v>33</v>
      </c>
      <c r="I365" s="438">
        <f ca="1">I371</f>
        <v>196</v>
      </c>
      <c r="J365" s="438">
        <f ca="1">J371</f>
        <v>47</v>
      </c>
      <c r="K365" s="439">
        <f ca="1">IF(I365&gt;0,J365*100/I365,0)</f>
        <v>23.979591836734695</v>
      </c>
      <c r="L365" s="571"/>
      <c r="M365" s="571"/>
      <c r="N365" s="571"/>
      <c r="O365" s="571"/>
      <c r="P365" s="571"/>
    </row>
    <row r="366" spans="1:16" ht="19.5" x14ac:dyDescent="0.3">
      <c r="A366" s="532"/>
      <c r="B366" s="430"/>
      <c r="C366" s="570" t="s">
        <v>16</v>
      </c>
      <c r="D366" s="569" t="s">
        <v>36</v>
      </c>
      <c r="E366" s="529"/>
      <c r="F366" s="529"/>
      <c r="G366" s="528"/>
      <c r="H366" s="527"/>
      <c r="I366" s="427"/>
      <c r="J366" s="427"/>
      <c r="K366" s="428"/>
      <c r="L366" s="525"/>
      <c r="M366" s="525"/>
      <c r="N366" s="525"/>
      <c r="O366" s="525"/>
      <c r="P366" s="525"/>
    </row>
    <row r="367" spans="1:16" ht="18.75" x14ac:dyDescent="0.25">
      <c r="A367" s="532"/>
      <c r="B367" s="420"/>
      <c r="C367" s="430"/>
      <c r="D367" s="420"/>
      <c r="E367" s="567" t="s">
        <v>143</v>
      </c>
      <c r="F367" s="420"/>
      <c r="G367" s="527"/>
      <c r="H367" s="568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IFERROR(__xludf.DUMMYFUNCTION("IMPORTRANGE(""https://docs.google.com/spreadsheets/d/1tdoBKaGub7dwA3U6UFTqxio9LNnvDCQjHKmttSEBsFQ/edit?usp=sharing"",""จัดที่ดิน!AB30"")"),64)</f>
        <v>64</v>
      </c>
      <c r="K367" s="425">
        <f>IF(I367&gt;0,J367*100/I367,0)</f>
        <v>0</v>
      </c>
      <c r="L367" s="525"/>
      <c r="M367" s="525"/>
      <c r="N367" s="525"/>
      <c r="O367" s="525"/>
      <c r="P367" s="525"/>
    </row>
    <row r="368" spans="1:16" ht="18.75" x14ac:dyDescent="0.25">
      <c r="A368" s="532"/>
      <c r="B368" s="420"/>
      <c r="C368" s="430"/>
      <c r="D368" s="420"/>
      <c r="E368" s="420"/>
      <c r="F368" s="420"/>
      <c r="G368" s="527"/>
      <c r="H368" s="568" t="s">
        <v>44</v>
      </c>
      <c r="I368" s="424">
        <f ca="1">IFERROR(__xludf.DUMMYFUNCTION("IMPORTRANGE(""https://docs.google.com/spreadsheets/d/1eHaY18a8A9IcSdp1K8H6x8fbOy06t2VsZHhMHf-1x7Y/edit?usp=sharing"",""แผน!EW30"")"),1620)</f>
        <v>1620</v>
      </c>
      <c r="J368" s="565">
        <f ca="1">IFERROR(__xludf.DUMMYFUNCTION("IMPORTRANGE(""https://docs.google.com/spreadsheets/d/1tdoBKaGub7dwA3U6UFTqxio9LNnvDCQjHKmttSEBsFQ/edit?usp=sharing"",""จัดที่ดิน!AC30"")"),602.23)</f>
        <v>602.23</v>
      </c>
      <c r="K368" s="425">
        <f ca="1">IF(I368&gt;0,J368*100/I368,0)</f>
        <v>37.174691358024688</v>
      </c>
      <c r="L368" s="525"/>
      <c r="M368" s="525"/>
      <c r="N368" s="525"/>
      <c r="O368" s="525"/>
      <c r="P368" s="525"/>
    </row>
    <row r="369" spans="1:16" ht="18.75" x14ac:dyDescent="0.25">
      <c r="A369" s="532"/>
      <c r="B369" s="420"/>
      <c r="C369" s="430"/>
      <c r="D369" s="420"/>
      <c r="E369" s="567" t="s">
        <v>144</v>
      </c>
      <c r="F369" s="420"/>
      <c r="G369" s="527"/>
      <c r="H369" s="566" t="s">
        <v>33</v>
      </c>
      <c r="I369" s="424">
        <f ca="1">IFERROR(__xludf.DUMMYFUNCTION("IMPORTRANGE(""https://docs.google.com/spreadsheets/d/1eHaY18a8A9IcSdp1K8H6x8fbOy06t2VsZHhMHf-1x7Y/edit?usp=sharing"",""แผน!EX30"")"),297)</f>
        <v>297</v>
      </c>
      <c r="J369" s="424">
        <f ca="1">IFERROR(__xludf.DUMMYFUNCTION("IMPORTRANGE(""https://docs.google.com/spreadsheets/d/1tdoBKaGub7dwA3U6UFTqxio9LNnvDCQjHKmttSEBsFQ/edit?usp=sharing"",""จัดที่ดิน!AD30"")"),81)</f>
        <v>81</v>
      </c>
      <c r="K369" s="425">
        <f ca="1">IF(I369&gt;0,J369*100/I369,0)</f>
        <v>27.272727272727273</v>
      </c>
      <c r="L369" s="525"/>
      <c r="M369" s="525"/>
      <c r="N369" s="525"/>
      <c r="O369" s="525"/>
      <c r="P369" s="525"/>
    </row>
    <row r="370" spans="1:16" ht="18.75" x14ac:dyDescent="0.25">
      <c r="A370" s="532"/>
      <c r="B370" s="420"/>
      <c r="C370" s="430"/>
      <c r="D370" s="420"/>
      <c r="E370" s="420"/>
      <c r="F370" s="420"/>
      <c r="G370" s="527"/>
      <c r="H370" s="566" t="s">
        <v>44</v>
      </c>
      <c r="I370" s="424">
        <v>0</v>
      </c>
      <c r="J370" s="565">
        <f ca="1">IFERROR(__xludf.DUMMYFUNCTION("IMPORTRANGE(""https://docs.google.com/spreadsheets/d/1tdoBKaGub7dwA3U6UFTqxio9LNnvDCQjHKmttSEBsFQ/edit?usp=sharing"",""จัดที่ดิน!AE30"")"),1342.46)</f>
        <v>1342.46</v>
      </c>
      <c r="K370" s="425">
        <f>IF(I370&gt;0,J370*100/I370,0)</f>
        <v>0</v>
      </c>
      <c r="L370" s="525"/>
      <c r="M370" s="525"/>
      <c r="N370" s="525"/>
      <c r="O370" s="525"/>
      <c r="P370" s="525"/>
    </row>
    <row r="371" spans="1:16" ht="18.75" x14ac:dyDescent="0.25">
      <c r="A371" s="532"/>
      <c r="B371" s="420"/>
      <c r="C371" s="430"/>
      <c r="D371" s="420"/>
      <c r="E371" s="567" t="s">
        <v>145</v>
      </c>
      <c r="F371" s="420"/>
      <c r="G371" s="527"/>
      <c r="H371" s="566" t="s">
        <v>33</v>
      </c>
      <c r="I371" s="424">
        <f ca="1">IFERROR(__xludf.DUMMYFUNCTION("IMPORTRANGE(""https://docs.google.com/spreadsheets/d/1eHaY18a8A9IcSdp1K8H6x8fbOy06t2VsZHhMHf-1x7Y/edit?usp=sharing"",""แผน!EY30"")"),196)</f>
        <v>196</v>
      </c>
      <c r="J371" s="424">
        <f ca="1">IFERROR(__xludf.DUMMYFUNCTION("IMPORTRANGE(""https://docs.google.com/spreadsheets/d/1tdoBKaGub7dwA3U6UFTqxio9LNnvDCQjHKmttSEBsFQ/edit?usp=sharing"",""จัดที่ดิน!AF30"")"),47)</f>
        <v>47</v>
      </c>
      <c r="K371" s="425">
        <f ca="1">IF(I371&gt;0,J371*100/I371,0)</f>
        <v>23.979591836734695</v>
      </c>
      <c r="L371" s="525"/>
      <c r="M371" s="525"/>
      <c r="N371" s="525"/>
      <c r="O371" s="525"/>
      <c r="P371" s="525"/>
    </row>
    <row r="372" spans="1:16" ht="18.75" x14ac:dyDescent="0.25">
      <c r="A372" s="532"/>
      <c r="B372" s="420"/>
      <c r="C372" s="430"/>
      <c r="D372" s="420"/>
      <c r="E372" s="420"/>
      <c r="F372" s="420"/>
      <c r="G372" s="527"/>
      <c r="H372" s="566" t="s">
        <v>44</v>
      </c>
      <c r="I372" s="424">
        <v>0</v>
      </c>
      <c r="J372" s="565">
        <f ca="1">IFERROR(__xludf.DUMMYFUNCTION("IMPORTRANGE(""https://docs.google.com/spreadsheets/d/1tdoBKaGub7dwA3U6UFTqxio9LNnvDCQjHKmttSEBsFQ/edit?usp=sharing"",""จัดที่ดิน!AG30"")"),993.08)</f>
        <v>993.08</v>
      </c>
      <c r="K372" s="425">
        <f>IF(I372&gt;0,J372*100/I372,0)</f>
        <v>0</v>
      </c>
      <c r="L372" s="525"/>
      <c r="M372" s="525"/>
      <c r="N372" s="525"/>
      <c r="O372" s="525"/>
      <c r="P372" s="525"/>
    </row>
    <row r="373" spans="1:16" ht="16.5" x14ac:dyDescent="0.25">
      <c r="A373" s="519"/>
      <c r="B373" s="516"/>
      <c r="C373" s="519"/>
      <c r="D373" s="5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16"/>
      <c r="F373" s="516"/>
      <c r="G373" s="515"/>
      <c r="H373" s="515"/>
      <c r="I373" s="563"/>
      <c r="J373" s="563"/>
      <c r="K373" s="510"/>
      <c r="L373" s="510"/>
      <c r="M373" s="510"/>
      <c r="N373" s="510"/>
      <c r="O373" s="510"/>
      <c r="P373" s="510"/>
    </row>
    <row r="374" spans="1:16" ht="19.5" hidden="1" x14ac:dyDescent="0.3">
      <c r="A374" s="562" t="s">
        <v>146</v>
      </c>
      <c r="B374" s="561"/>
      <c r="C374" s="561"/>
      <c r="D374" s="561"/>
      <c r="E374" s="560"/>
      <c r="F374" s="560"/>
      <c r="G374" s="560"/>
      <c r="H374" s="560"/>
      <c r="I374" s="559"/>
      <c r="J374" s="559"/>
      <c r="K374" s="558"/>
      <c r="L374" s="558"/>
      <c r="M374" s="558"/>
      <c r="N374" s="558"/>
      <c r="O374" s="558"/>
      <c r="P374" s="557"/>
    </row>
    <row r="375" spans="1:16" ht="19.5" hidden="1" x14ac:dyDescent="0.3">
      <c r="A375" s="556" t="s">
        <v>147</v>
      </c>
      <c r="B375" s="554"/>
      <c r="C375" s="554"/>
      <c r="D375" s="555"/>
      <c r="E375" s="554"/>
      <c r="F375" s="554"/>
      <c r="G375" s="554"/>
      <c r="H375" s="553"/>
      <c r="I375" s="552"/>
      <c r="J375" s="552"/>
      <c r="K375" s="551"/>
      <c r="L375" s="551"/>
      <c r="M375" s="551"/>
      <c r="N375" s="551"/>
      <c r="O375" s="551"/>
      <c r="P375" s="551"/>
    </row>
    <row r="376" spans="1:16" ht="19.5" hidden="1" x14ac:dyDescent="0.3">
      <c r="A376" s="550"/>
      <c r="B376" s="549" t="s">
        <v>148</v>
      </c>
      <c r="C376" s="548"/>
      <c r="D376" s="547"/>
      <c r="E376" s="547"/>
      <c r="F376" s="547"/>
      <c r="G376" s="546"/>
      <c r="H376" s="545" t="s">
        <v>54</v>
      </c>
      <c r="I376" s="544">
        <f>I388</f>
        <v>0</v>
      </c>
      <c r="J376" s="544">
        <f>J388</f>
        <v>0</v>
      </c>
      <c r="K376" s="543">
        <f>IF(I376&gt;0,J376*100/I376,0)</f>
        <v>0</v>
      </c>
      <c r="L376" s="542"/>
      <c r="M376" s="542"/>
      <c r="N376" s="542"/>
      <c r="O376" s="542"/>
      <c r="P376" s="542"/>
    </row>
    <row r="377" spans="1:16" ht="19.5" hidden="1" x14ac:dyDescent="0.3">
      <c r="A377" s="535"/>
      <c r="B377" s="418"/>
      <c r="C377" s="531" t="s">
        <v>16</v>
      </c>
      <c r="D377" s="541" t="s">
        <v>17</v>
      </c>
      <c r="E377" s="418"/>
      <c r="F377" s="418"/>
      <c r="G377" s="422"/>
      <c r="H377" s="540" t="s">
        <v>12</v>
      </c>
      <c r="I377" s="427"/>
      <c r="J377" s="427"/>
      <c r="K377" s="428"/>
      <c r="L377" s="539">
        <f ca="1">L378+L379</f>
        <v>0</v>
      </c>
      <c r="M377" s="539">
        <f ca="1">M378+M379</f>
        <v>0</v>
      </c>
      <c r="N377" s="539">
        <f ca="1">N378+N379</f>
        <v>0</v>
      </c>
      <c r="O377" s="539">
        <f ca="1">IF(L377&gt;0,N377*100/L377,0)</f>
        <v>0</v>
      </c>
      <c r="P377" s="539">
        <f ca="1">IF(M377&gt;0,N377*100/M377,0)</f>
        <v>0</v>
      </c>
    </row>
    <row r="378" spans="1:16" ht="18.75" hidden="1" x14ac:dyDescent="0.25">
      <c r="A378" s="535"/>
      <c r="B378" s="418"/>
      <c r="C378" s="418"/>
      <c r="D378" s="418"/>
      <c r="E378" s="534" t="s">
        <v>18</v>
      </c>
      <c r="F378" s="418"/>
      <c r="G378" s="422"/>
      <c r="H378" s="538" t="s">
        <v>12</v>
      </c>
      <c r="I378" s="427"/>
      <c r="J378" s="427"/>
      <c r="K378" s="428"/>
      <c r="L378" s="521">
        <f>L381+L384</f>
        <v>0</v>
      </c>
      <c r="M378" s="521">
        <f>M381+M384</f>
        <v>0</v>
      </c>
      <c r="N378" s="521">
        <f>N381+N384</f>
        <v>0</v>
      </c>
      <c r="O378" s="521">
        <f>IF(L378&gt;0,N378*100/L378,0)</f>
        <v>0</v>
      </c>
      <c r="P378" s="521">
        <f>IF(M378&gt;0,N378*100/M378,0)</f>
        <v>0</v>
      </c>
    </row>
    <row r="379" spans="1:16" ht="18.75" hidden="1" x14ac:dyDescent="0.25">
      <c r="A379" s="535"/>
      <c r="B379" s="418"/>
      <c r="C379" s="418"/>
      <c r="D379" s="418"/>
      <c r="E379" s="534" t="s">
        <v>19</v>
      </c>
      <c r="F379" s="418"/>
      <c r="G379" s="422"/>
      <c r="H379" s="538" t="s">
        <v>12</v>
      </c>
      <c r="I379" s="427"/>
      <c r="J379" s="427"/>
      <c r="K379" s="428"/>
      <c r="L379" s="521">
        <f ca="1">L382+L385</f>
        <v>0</v>
      </c>
      <c r="M379" s="521">
        <f ca="1">M382+M385</f>
        <v>0</v>
      </c>
      <c r="N379" s="521">
        <f ca="1">N382+N385</f>
        <v>0</v>
      </c>
      <c r="O379" s="521">
        <f ca="1">IF(L379&gt;0,N379*100/L379,0)</f>
        <v>0</v>
      </c>
      <c r="P379" s="521">
        <f ca="1">IF(M379&gt;0,N379*100/M379,0)</f>
        <v>0</v>
      </c>
    </row>
    <row r="380" spans="1:16" ht="18.75" hidden="1" x14ac:dyDescent="0.25">
      <c r="A380" s="535"/>
      <c r="B380" s="418"/>
      <c r="C380" s="418"/>
      <c r="D380" s="537" t="s">
        <v>20</v>
      </c>
      <c r="E380" s="418"/>
      <c r="F380" s="418"/>
      <c r="G380" s="422"/>
      <c r="H380" s="536" t="s">
        <v>12</v>
      </c>
      <c r="I380" s="526"/>
      <c r="J380" s="526"/>
      <c r="K380" s="525"/>
      <c r="L380" s="521">
        <f ca="1">L381+L382</f>
        <v>0</v>
      </c>
      <c r="M380" s="521">
        <f ca="1">M381+M382</f>
        <v>0</v>
      </c>
      <c r="N380" s="521">
        <f ca="1">N381+N382</f>
        <v>0</v>
      </c>
      <c r="O380" s="521">
        <f ca="1">IF(L380&gt;0,N380*100/L380,0)</f>
        <v>0</v>
      </c>
      <c r="P380" s="521">
        <f ca="1">IF(M380&gt;0,N380*100/M380,0)</f>
        <v>0</v>
      </c>
    </row>
    <row r="381" spans="1:16" ht="18.75" hidden="1" x14ac:dyDescent="0.25">
      <c r="A381" s="535"/>
      <c r="B381" s="418"/>
      <c r="C381" s="418"/>
      <c r="D381" s="418"/>
      <c r="E381" s="534" t="s">
        <v>34</v>
      </c>
      <c r="F381" s="418"/>
      <c r="G381" s="422"/>
      <c r="H381" s="536" t="s">
        <v>12</v>
      </c>
      <c r="I381" s="526"/>
      <c r="J381" s="526"/>
      <c r="K381" s="525"/>
      <c r="L381" s="521">
        <v>0</v>
      </c>
      <c r="M381" s="521">
        <v>0</v>
      </c>
      <c r="N381" s="521">
        <v>0</v>
      </c>
      <c r="O381" s="521">
        <f>IF(L381&gt;0,N381*100/L381,0)</f>
        <v>0</v>
      </c>
      <c r="P381" s="521">
        <f>IF(M381&gt;0,N381*100/M381,0)</f>
        <v>0</v>
      </c>
    </row>
    <row r="382" spans="1:16" ht="18.75" hidden="1" x14ac:dyDescent="0.25">
      <c r="A382" s="535"/>
      <c r="B382" s="418"/>
      <c r="C382" s="418"/>
      <c r="D382" s="418"/>
      <c r="E382" s="534" t="s">
        <v>35</v>
      </c>
      <c r="F382" s="418"/>
      <c r="G382" s="422"/>
      <c r="H382" s="536" t="s">
        <v>12</v>
      </c>
      <c r="I382" s="526"/>
      <c r="J382" s="526"/>
      <c r="K382" s="525"/>
      <c r="L382" s="521">
        <f ca="1">IFERROR(__xludf.DUMMYFUNCTION("IMPORTRANGE(""https://docs.google.com/spreadsheets/d/1-uDff_7J0KD5mKrp0Vvzr7lt3OU09vwQwhkpOPPYv2Y/edit?usp=sharing"",""งบพรบ!FM30"")"),0)</f>
        <v>0</v>
      </c>
      <c r="M382" s="521">
        <f ca="1">IFERROR(__xludf.DUMMYFUNCTION("IMPORTRANGE(""https://docs.google.com/spreadsheets/d/1-uDff_7J0KD5mKrp0Vvzr7lt3OU09vwQwhkpOPPYv2Y/edit?usp=sharing"",""งบพรบ!FR30"")"),0)</f>
        <v>0</v>
      </c>
      <c r="N382" s="521">
        <f ca="1">IFERROR(__xludf.DUMMYFUNCTION("IMPORTRANGE(""https://docs.google.com/spreadsheets/d/1-uDff_7J0KD5mKrp0Vvzr7lt3OU09vwQwhkpOPPYv2Y/edit?usp=sharing"",""งบพรบ!FT30"")"),0)</f>
        <v>0</v>
      </c>
      <c r="O382" s="521">
        <f ca="1">IF(L382&gt;0,N382*100/L382,0)</f>
        <v>0</v>
      </c>
      <c r="P382" s="521">
        <f ca="1">IF(M382&gt;0,N382*100/M382,0)</f>
        <v>0</v>
      </c>
    </row>
    <row r="383" spans="1:16" ht="18.75" hidden="1" x14ac:dyDescent="0.25">
      <c r="A383" s="535"/>
      <c r="B383" s="418"/>
      <c r="C383" s="418"/>
      <c r="D383" s="537" t="s">
        <v>21</v>
      </c>
      <c r="E383" s="418"/>
      <c r="F383" s="418"/>
      <c r="G383" s="422"/>
      <c r="H383" s="533" t="s">
        <v>12</v>
      </c>
      <c r="I383" s="526"/>
      <c r="J383" s="526"/>
      <c r="K383" s="525"/>
      <c r="L383" s="521">
        <f ca="1">L384+L385</f>
        <v>0</v>
      </c>
      <c r="M383" s="521">
        <f ca="1">M384+M385</f>
        <v>0</v>
      </c>
      <c r="N383" s="521">
        <f ca="1">N384+N385</f>
        <v>0</v>
      </c>
      <c r="O383" s="521">
        <f ca="1">IF(L383&gt;0,N383*100/L383,0)</f>
        <v>0</v>
      </c>
      <c r="P383" s="521">
        <f ca="1">IF(M383&gt;0,N383*100/M383,0)</f>
        <v>0</v>
      </c>
    </row>
    <row r="384" spans="1:16" ht="18.75" hidden="1" x14ac:dyDescent="0.25">
      <c r="A384" s="535"/>
      <c r="B384" s="418"/>
      <c r="C384" s="418"/>
      <c r="D384" s="418"/>
      <c r="E384" s="534" t="s">
        <v>18</v>
      </c>
      <c r="F384" s="418"/>
      <c r="G384" s="422"/>
      <c r="H384" s="536" t="s">
        <v>12</v>
      </c>
      <c r="I384" s="526"/>
      <c r="J384" s="526"/>
      <c r="K384" s="525"/>
      <c r="L384" s="521">
        <v>0</v>
      </c>
      <c r="M384" s="521">
        <v>0</v>
      </c>
      <c r="N384" s="521">
        <v>0</v>
      </c>
      <c r="O384" s="521">
        <f>IF(L384&gt;0,N384*100/L384,0)</f>
        <v>0</v>
      </c>
      <c r="P384" s="521">
        <f>IF(M384&gt;0,N384*100/M384,0)</f>
        <v>0</v>
      </c>
    </row>
    <row r="385" spans="1:16" ht="18.75" hidden="1" x14ac:dyDescent="0.25">
      <c r="A385" s="535"/>
      <c r="B385" s="418"/>
      <c r="C385" s="418"/>
      <c r="D385" s="418"/>
      <c r="E385" s="534" t="s">
        <v>19</v>
      </c>
      <c r="F385" s="418"/>
      <c r="G385" s="422"/>
      <c r="H385" s="533" t="s">
        <v>12</v>
      </c>
      <c r="I385" s="526"/>
      <c r="J385" s="526"/>
      <c r="K385" s="525"/>
      <c r="L385" s="521">
        <f ca="1">IFERROR(__xludf.DUMMYFUNCTION("IMPORTRANGE(""https://docs.google.com/spreadsheets/d/1-uDff_7J0KD5mKrp0Vvzr7lt3OU09vwQwhkpOPPYv2Y/edit?usp=sharing"",""งบพรบ!FP30"")"),0)</f>
        <v>0</v>
      </c>
      <c r="M385" s="521">
        <f ca="1">IFERROR(__xludf.DUMMYFUNCTION("IMPORTRANGE(""https://docs.google.com/spreadsheets/d/1-uDff_7J0KD5mKrp0Vvzr7lt3OU09vwQwhkpOPPYv2Y/edit?usp=sharing"",""งบพรบ!FS30"")"),0)</f>
        <v>0</v>
      </c>
      <c r="N385" s="521">
        <f ca="1">IFERROR(__xludf.DUMMYFUNCTION("IMPORTRANGE(""https://docs.google.com/spreadsheets/d/1-uDff_7J0KD5mKrp0Vvzr7lt3OU09vwQwhkpOPPYv2Y/edit?usp=sharing"",""งบพรบ!FU30"")"),0)</f>
        <v>0</v>
      </c>
      <c r="O385" s="521">
        <f ca="1">IF(L385&gt;0,N385*100/L385,0)</f>
        <v>0</v>
      </c>
      <c r="P385" s="521">
        <f ca="1">IF(M385&gt;0,N385*100/M385,0)</f>
        <v>0</v>
      </c>
    </row>
    <row r="386" spans="1:16" ht="19.5" hidden="1" x14ac:dyDescent="0.3">
      <c r="A386" s="532"/>
      <c r="B386" s="430"/>
      <c r="C386" s="531" t="s">
        <v>16</v>
      </c>
      <c r="D386" s="530" t="s">
        <v>36</v>
      </c>
      <c r="E386" s="529"/>
      <c r="F386" s="529"/>
      <c r="G386" s="528"/>
      <c r="H386" s="527"/>
      <c r="I386" s="526"/>
      <c r="J386" s="427"/>
      <c r="K386" s="428"/>
      <c r="L386" s="428"/>
      <c r="M386" s="428"/>
      <c r="N386" s="428"/>
      <c r="O386" s="525"/>
      <c r="P386" s="525"/>
    </row>
    <row r="387" spans="1:16" ht="18.75" hidden="1" x14ac:dyDescent="0.25">
      <c r="A387" s="417"/>
      <c r="B387" s="418"/>
      <c r="C387" s="419"/>
      <c r="D387" s="524" t="s">
        <v>149</v>
      </c>
      <c r="E387" s="430"/>
      <c r="F387" s="418"/>
      <c r="G387" s="422"/>
      <c r="H387" s="523" t="s">
        <v>9</v>
      </c>
      <c r="I387" s="199">
        <v>0</v>
      </c>
      <c r="J387" s="522">
        <v>0</v>
      </c>
      <c r="K387" s="521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verticalDpi="0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2024-01-05T03:16:48Z</dcterms:modified>
</cp:coreProperties>
</file>